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10964.44148\"/>
    </mc:Choice>
  </mc:AlternateContent>
  <xr:revisionPtr revIDLastSave="0" documentId="13_ncr:1_{999421B2-2D96-4743-9781-C367B7E887F9}" xr6:coauthVersionLast="45" xr6:coauthVersionMax="45" xr10:uidLastSave="{00000000-0000-0000-0000-000000000000}"/>
  <bookViews>
    <workbookView xWindow="28680" yWindow="-120" windowWidth="29040" windowHeight="15840" firstSheet="1" activeTab="3" xr2:uid="{00000000-000D-0000-FFFF-FFFF00000000}"/>
  </bookViews>
  <sheets>
    <sheet name="Создание и развитие ППО" sheetId="1" r:id="rId1"/>
    <sheet name="Нормы и срок" sheetId="3" r:id="rId2"/>
    <sheet name="Поправочные коэффициенты" sheetId="2" r:id="rId3"/>
    <sheet name="Сопровождение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6" i="4" l="1"/>
  <c r="G42" i="1"/>
  <c r="G43" i="1"/>
  <c r="D21" i="1" l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E3" i="2"/>
  <c r="G80" i="2"/>
  <c r="G51" i="2"/>
  <c r="E72" i="3"/>
  <c r="E73" i="3"/>
  <c r="E60" i="3"/>
  <c r="E61" i="3"/>
  <c r="E62" i="3"/>
  <c r="E63" i="3"/>
  <c r="E64" i="3"/>
  <c r="E65" i="3"/>
  <c r="E66" i="3"/>
  <c r="E67" i="3"/>
  <c r="E68" i="3"/>
  <c r="E69" i="3"/>
  <c r="E70" i="3"/>
  <c r="E71" i="3"/>
  <c r="E59" i="3"/>
  <c r="E9" i="2"/>
  <c r="E9" i="3"/>
  <c r="E8" i="3"/>
  <c r="E7" i="3"/>
  <c r="E5" i="3"/>
  <c r="E4" i="3"/>
  <c r="G44" i="1" s="1"/>
  <c r="E3" i="3"/>
  <c r="G35" i="1"/>
  <c r="G23" i="2"/>
  <c r="G66" i="2"/>
  <c r="G69" i="2"/>
  <c r="E5" i="2"/>
  <c r="I10" i="4"/>
  <c r="G10" i="4"/>
  <c r="H10" i="4"/>
  <c r="G4" i="4" l="1"/>
  <c r="G21" i="4" s="1"/>
  <c r="H47" i="1"/>
  <c r="G47" i="1"/>
  <c r="I21" i="1"/>
  <c r="I22" i="1"/>
  <c r="I24" i="1"/>
  <c r="I26" i="1"/>
  <c r="I23" i="1"/>
  <c r="I25" i="1"/>
  <c r="E8" i="2"/>
  <c r="E4" i="2"/>
  <c r="E7" i="2"/>
  <c r="E6" i="2"/>
  <c r="G30" i="1" l="1"/>
  <c r="G37" i="1" s="1"/>
  <c r="H48" i="1" l="1"/>
  <c r="H49" i="1" s="1"/>
  <c r="H51" i="1" s="1"/>
  <c r="G48" i="1"/>
  <c r="G49" i="1"/>
  <c r="G51" i="1" s="1"/>
  <c r="G11" i="4" l="1"/>
  <c r="I11" i="4"/>
  <c r="H11" i="4"/>
  <c r="K49" i="1"/>
  <c r="J11" i="4" l="1"/>
  <c r="G14" i="4" s="1"/>
  <c r="G2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Гани Нагиев</author>
  </authors>
  <commentList>
    <comment ref="H4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Гани Нагиев:</t>
        </r>
        <r>
          <rPr>
            <sz val="9"/>
            <color indexed="81"/>
            <rFont val="Tahoma"/>
            <family val="2"/>
            <charset val="204"/>
          </rPr>
          <t xml:space="preserve">
Нужно ставить $G$30, если нет сжатия сроков
</t>
        </r>
      </text>
    </comment>
    <comment ref="I4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Гани Нагиев:</t>
        </r>
        <r>
          <rPr>
            <sz val="9"/>
            <color indexed="81"/>
            <rFont val="Tahoma"/>
            <family val="2"/>
            <charset val="204"/>
          </rPr>
          <t xml:space="preserve">
Нужно ставить $G$30, если нет сжатия сроков
</t>
        </r>
      </text>
    </comment>
  </commentList>
</comments>
</file>

<file path=xl/sharedStrings.xml><?xml version="1.0" encoding="utf-8"?>
<sst xmlns="http://schemas.openxmlformats.org/spreadsheetml/2006/main" count="378" uniqueCount="346">
  <si>
    <t>№</t>
  </si>
  <si>
    <t>Наименование процесса</t>
  </si>
  <si>
    <t>Функциональная единица измерения</t>
  </si>
  <si>
    <t>вариант использования</t>
  </si>
  <si>
    <t>тип объекта</t>
  </si>
  <si>
    <t>свойства типа объекта</t>
  </si>
  <si>
    <t>свойства взаимоотношения между объектами</t>
  </si>
  <si>
    <t>тип узла</t>
  </si>
  <si>
    <t>Трудоемкость, чел.час</t>
  </si>
  <si>
    <t>Бизнес моделирование</t>
  </si>
  <si>
    <t>Управление требованиями</t>
  </si>
  <si>
    <t>Проектирование</t>
  </si>
  <si>
    <t>Реализация</t>
  </si>
  <si>
    <t>Тестирование</t>
  </si>
  <si>
    <t>Развертывание</t>
  </si>
  <si>
    <t>Нормативы трудоемкости по процессам в разрезе функциональных единиц</t>
  </si>
  <si>
    <t>Количество вариантов использования</t>
  </si>
  <si>
    <t>Количество типов объектов</t>
  </si>
  <si>
    <t>Количество свойств типов объектов</t>
  </si>
  <si>
    <t>Количество взаимодействий между типами объектов</t>
  </si>
  <si>
    <t>Количество узлов</t>
  </si>
  <si>
    <t>SIZE</t>
  </si>
  <si>
    <t>C</t>
  </si>
  <si>
    <t>E</t>
  </si>
  <si>
    <t>T</t>
  </si>
  <si>
    <t>I</t>
  </si>
  <si>
    <t>N</t>
  </si>
  <si>
    <t>Значения</t>
  </si>
  <si>
    <t>Группа частных поправочных коэффициентов</t>
  </si>
  <si>
    <t>Фактор и обозначение частного поправочного коэффициента</t>
  </si>
  <si>
    <t xml:space="preserve">Описание фактора частного поправочного коэффициента </t>
  </si>
  <si>
    <t>Значение</t>
  </si>
  <si>
    <t>Выбор</t>
  </si>
  <si>
    <t>Внутренние факторы</t>
  </si>
  <si>
    <t>Режим эксплуатации ИС К1</t>
  </si>
  <si>
    <t>Определяется в зависимости от конкретных технологий или типов обработки, принятых в системе программного обеспечения. Принимает следующие значения:</t>
  </si>
  <si>
    <t>обработка данных в режиме разделения времени</t>
  </si>
  <si>
    <t>параллельная обработка данных</t>
  </si>
  <si>
    <t>обработка данных в режиме реального времени</t>
  </si>
  <si>
    <t>совмещенная обработка данных</t>
  </si>
  <si>
    <t>Масштаб ИС К2</t>
  </si>
  <si>
    <t>Масштаб может быть определен количеством одновременно работающих пользователей. Принимает следующие значения:</t>
  </si>
  <si>
    <t>малые ИС (до 10 пользователей с непродолжительным ЖЦ)</t>
  </si>
  <si>
    <t>средние ИС (от 11 до 100 пользователей с длительным ЖЦ с возможностью роста до крупных систем)</t>
  </si>
  <si>
    <t>крупные ИС (от 101 до 1000 пользователей с длительным ЖЦ и миграцией унаследованных систем)</t>
  </si>
  <si>
    <t>сверхбольшие (свыше 1000 пользователей)</t>
  </si>
  <si>
    <t>Стабильность ИС К3</t>
  </si>
  <si>
    <t>Определяется в зависимости от ее внутренних эволюционных аспектов или стабильности в процессе сопровождения. Принимает следующие значения:</t>
  </si>
  <si>
    <t>постоянное внесение изменений</t>
  </si>
  <si>
    <t>дискретное внесение изменений</t>
  </si>
  <si>
    <t xml:space="preserve">маловероятное внесение изменений </t>
  </si>
  <si>
    <t>Защита от несанкционированного доступа К4</t>
  </si>
  <si>
    <t>Предотвращение или существенное затруднение несанкционированного доступа. Принимает следующие значения:</t>
  </si>
  <si>
    <t>сильная</t>
  </si>
  <si>
    <t>средняя</t>
  </si>
  <si>
    <t>слабая</t>
  </si>
  <si>
    <t>Защита программ и данных (на уровне операционной системы, на уровне сетевого программного обеспечения, на уровне СУБД) К5</t>
  </si>
  <si>
    <t>Контрольный след операций К6</t>
  </si>
  <si>
    <t>Возможность фиксации несанкционированных изменений в системе:</t>
  </si>
  <si>
    <t>не имеется</t>
  </si>
  <si>
    <t>выборочное отслеживание</t>
  </si>
  <si>
    <t>полное отслеживание</t>
  </si>
  <si>
    <t>Отказоустойчивость К7</t>
  </si>
  <si>
    <t>Свойство системы непрерывно сохранять работоспособное состояние в течении некоторого времени. Принимает следующие значения:</t>
  </si>
  <si>
    <t>Высокая</t>
  </si>
  <si>
    <t xml:space="preserve">Средняя </t>
  </si>
  <si>
    <t>Низкая</t>
  </si>
  <si>
    <t>Восстанавливаемость К8</t>
  </si>
  <si>
    <t>Среднее время восстановления работоспособности после отказа. Принимает следующие значения</t>
  </si>
  <si>
    <t xml:space="preserve">высокая </t>
  </si>
  <si>
    <t xml:space="preserve">средняя </t>
  </si>
  <si>
    <t>низкая</t>
  </si>
  <si>
    <t>Длительность обработки (время отклика) К9</t>
  </si>
  <si>
    <t>Быстрота реакции системы на входные воздействия. Принимает следующие значения:</t>
  </si>
  <si>
    <t>быстрая</t>
  </si>
  <si>
    <t>умеренная</t>
  </si>
  <si>
    <t>медленная</t>
  </si>
  <si>
    <t>Исходный язык разработки ИС К10</t>
  </si>
  <si>
    <t>Определяется в зависимости от типа исходного языка, используемого при разработке ИС. Принимает следующие значения:</t>
  </si>
  <si>
    <t>традиционный (Кобол, Фортран и т.д.)</t>
  </si>
  <si>
    <t>процедурный (Си или эквивалентный)</t>
  </si>
  <si>
    <t>функциональный (Лисп или эквивалентный)</t>
  </si>
  <si>
    <t>объектно-ориентированный (Си++ или эквивалентный)</t>
  </si>
  <si>
    <t>Факторы среды</t>
  </si>
  <si>
    <t>Класс пользователя К11</t>
  </si>
  <si>
    <t>Определяется в зависимости от уровня мастерства или характеристик определенного класса пользователей. Пользователем может быть система, являющаяся внешней по отношении к рассматриваемой системе. Принимает следующие значения:</t>
  </si>
  <si>
    <t>начинающий</t>
  </si>
  <si>
    <t>средний</t>
  </si>
  <si>
    <t>специалист (эксперт)</t>
  </si>
  <si>
    <t>случайный</t>
  </si>
  <si>
    <t>другая ИС (ПО)</t>
  </si>
  <si>
    <t>технические средства</t>
  </si>
  <si>
    <t>Требования к центральному обрабатывающему устройству (процессору) К12</t>
  </si>
  <si>
    <t>Определяются требованиями к тактовой частоте процессора (скорости процессора). Принимает следующие значения:</t>
  </si>
  <si>
    <t>высокая</t>
  </si>
  <si>
    <t>Требования к оперативной (основной) памяти К13</t>
  </si>
  <si>
    <t>ИС должна быть идентифицировано по требованиям, предъявляемым к оперативной памяти (объем, быстродействие). Принимает следующие значения:</t>
  </si>
  <si>
    <t>большая</t>
  </si>
  <si>
    <t>малая</t>
  </si>
  <si>
    <t>1,04 </t>
  </si>
  <si>
    <t>Требования к внешней памяти К14</t>
  </si>
  <si>
    <t>ИС должна быть идентифицировано по требованиям, предъявляемым к внешней памяти (объем, быстродействие). Принимает следующие значения:</t>
  </si>
  <si>
    <t>Требования к локальной вычислительной сети К15</t>
  </si>
  <si>
    <t>ИС должна быть идентифицировано по требованиям, предъявляемым к ЛВС (пропускная способность, зашита информации в сети). Принимает следующие значения:</t>
  </si>
  <si>
    <t>высокие требования</t>
  </si>
  <si>
    <t>средние требования</t>
  </si>
  <si>
    <t>Критичность ИС К16</t>
  </si>
  <si>
    <t>Определяется в зависимости от уровня целостности продукции, с учетом конкретной методологии оценки. Принимает следующие значения:</t>
  </si>
  <si>
    <t>человеческая жизнь</t>
  </si>
  <si>
    <t>национальная безопасность</t>
  </si>
  <si>
    <t>социальный хаос и паника</t>
  </si>
  <si>
    <t>организационная безопасность</t>
  </si>
  <si>
    <t>Готовность К17</t>
  </si>
  <si>
    <t>Определяется в зависимости от типа имеющегося в наличии ППО. Принимает следующие значения:</t>
  </si>
  <si>
    <t>наличие в готовом виде (есть альтернативные продукты)</t>
  </si>
  <si>
    <t>общедоступная (известная методика)</t>
  </si>
  <si>
    <t>заказное (методика заказчика специфическая)</t>
  </si>
  <si>
    <t>запатентованное (методика разработчика)</t>
  </si>
  <si>
    <t>Факторы данных</t>
  </si>
  <si>
    <t>Представление данных К18</t>
  </si>
  <si>
    <t>Определяется в зависимости от элементов, типов и структур данных. Принимает следующие значения:</t>
  </si>
  <si>
    <t>реляционный</t>
  </si>
  <si>
    <t>индексируемый (иерархический)</t>
  </si>
  <si>
    <t>сетевой</t>
  </si>
  <si>
    <t>объектный</t>
  </si>
  <si>
    <t>форматированный файл</t>
  </si>
  <si>
    <t>Частные поправочные коэффициенты трудоемкости разработки и сопровождения прикладного программного обеспечения</t>
  </si>
  <si>
    <t>Поправочные коэффициенты трудоемкости процессов разработки</t>
  </si>
  <si>
    <t>Поправочный коэффициент</t>
  </si>
  <si>
    <t>Формула</t>
  </si>
  <si>
    <t>КП1</t>
  </si>
  <si>
    <t>КП1=К11·К16·К17</t>
  </si>
  <si>
    <t>КП2</t>
  </si>
  <si>
    <t>КП2=К1·К2·К4·К5·К6·К7·К8·К9·К16·К17·К18</t>
  </si>
  <si>
    <t>КП3</t>
  </si>
  <si>
    <t>КП3=К1·К2·К4·К5·К6·К7·К8·К9·К11·К12·К13·К14·К15·К16·К17·К18</t>
  </si>
  <si>
    <t>КП4</t>
  </si>
  <si>
    <t>КП4 = К1·К2·К4·К5·К6·К7· К8·К9·К10·К12· К13·К14·К15·К16· К17·К18</t>
  </si>
  <si>
    <t>КП5</t>
  </si>
  <si>
    <t>КП5=К1·К2·К4·К5·К6·К7·К8·К9·К10·К11·К12·К13·К14·К15·К16·К17·К18</t>
  </si>
  <si>
    <t>КП6</t>
  </si>
  <si>
    <t>КП6=К1·К2·К11·К16·К18</t>
  </si>
  <si>
    <t>Для формул</t>
  </si>
  <si>
    <t>Обозначение</t>
  </si>
  <si>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</si>
  <si>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</si>
  <si>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</si>
  <si>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</si>
  <si>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</si>
  <si>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</si>
  <si>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</si>
  <si>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</si>
  <si>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</si>
  <si>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</si>
  <si>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</si>
  <si>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</si>
  <si>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К13</t>
  </si>
  <si>
    <t>К14</t>
  </si>
  <si>
    <t>К15</t>
  </si>
  <si>
    <t>К16</t>
  </si>
  <si>
    <t>К17</t>
  </si>
  <si>
    <t>К18</t>
  </si>
  <si>
    <t>Функциональный размер ППО ИС</t>
  </si>
  <si>
    <t>Расчет базовой трудоемкости создания ППО ИС по процессам</t>
  </si>
  <si>
    <t>Трудоемкость, чел.месяц</t>
  </si>
  <si>
    <t>Итого, Sj</t>
  </si>
  <si>
    <t>Срок разработки ППО</t>
  </si>
  <si>
    <t>Трудоемкость (человеко-месяц)</t>
  </si>
  <si>
    <t>1 месяц</t>
  </si>
  <si>
    <t>5 – 30</t>
  </si>
  <si>
    <t>2 месяца</t>
  </si>
  <si>
    <t>10 – 80</t>
  </si>
  <si>
    <t>3 месяца</t>
  </si>
  <si>
    <t>17 – 140</t>
  </si>
  <si>
    <t>4 месяца</t>
  </si>
  <si>
    <t>26 – 210</t>
  </si>
  <si>
    <t>5 месяцев</t>
  </si>
  <si>
    <t>37 – 280</t>
  </si>
  <si>
    <t>6 месяцев</t>
  </si>
  <si>
    <t>50 – 340</t>
  </si>
  <si>
    <t>7 месяцев</t>
  </si>
  <si>
    <t>65 – 400</t>
  </si>
  <si>
    <t>8 месяцев</t>
  </si>
  <si>
    <t>80 – 450</t>
  </si>
  <si>
    <t>9 месяцев</t>
  </si>
  <si>
    <t>100 – 500</t>
  </si>
  <si>
    <t>10 месяцев</t>
  </si>
  <si>
    <t>120 – 550</t>
  </si>
  <si>
    <t>11 месяцев</t>
  </si>
  <si>
    <t>140 – 610</t>
  </si>
  <si>
    <t>12 месяцев</t>
  </si>
  <si>
    <t>160 – 670</t>
  </si>
  <si>
    <t>13 месяцев</t>
  </si>
  <si>
    <t>180 – 720</t>
  </si>
  <si>
    <t>14 месяцев</t>
  </si>
  <si>
    <t>200 – 770</t>
  </si>
  <si>
    <t>15 месяцев</t>
  </si>
  <si>
    <t>230 – 820</t>
  </si>
  <si>
    <t>16 месяцев</t>
  </si>
  <si>
    <t>260 – 870</t>
  </si>
  <si>
    <t>17 месяцев</t>
  </si>
  <si>
    <t>290 – 930</t>
  </si>
  <si>
    <t>18 месяцев</t>
  </si>
  <si>
    <t>330 – 990</t>
  </si>
  <si>
    <t>19 месяцев</t>
  </si>
  <si>
    <t>370 – 1040</t>
  </si>
  <si>
    <t>20 месяцев</t>
  </si>
  <si>
    <t>420 – 1090</t>
  </si>
  <si>
    <t>21 месяц</t>
  </si>
  <si>
    <t>470 – 1150</t>
  </si>
  <si>
    <t>22 месяца</t>
  </si>
  <si>
    <t>530 – 1200</t>
  </si>
  <si>
    <t>23 месяца</t>
  </si>
  <si>
    <t>600 – 1250</t>
  </si>
  <si>
    <t>24 месяца</t>
  </si>
  <si>
    <t>670 – 1300</t>
  </si>
  <si>
    <t>25 месяцев</t>
  </si>
  <si>
    <t>750 – 1350</t>
  </si>
  <si>
    <t>26 месяцев</t>
  </si>
  <si>
    <t>830 – 1400</t>
  </si>
  <si>
    <t>27 месяцев</t>
  </si>
  <si>
    <t>900 – 1450</t>
  </si>
  <si>
    <t>28 месяцев</t>
  </si>
  <si>
    <t>970 – 1500</t>
  </si>
  <si>
    <t>29 месяцев</t>
  </si>
  <si>
    <t>1150 – 1550</t>
  </si>
  <si>
    <t>30 месяцев</t>
  </si>
  <si>
    <t>1230 – 1600</t>
  </si>
  <si>
    <t>31 месяц</t>
  </si>
  <si>
    <t>1310 – 1660</t>
  </si>
  <si>
    <t>32 месяца</t>
  </si>
  <si>
    <t>1390 – 1720</t>
  </si>
  <si>
    <t>33 месяца</t>
  </si>
  <si>
    <t>1470 – 1780</t>
  </si>
  <si>
    <t>34 месяца</t>
  </si>
  <si>
    <t>1520 – 1840</t>
  </si>
  <si>
    <t>35 месяцев</t>
  </si>
  <si>
    <t>1570 – 1900</t>
  </si>
  <si>
    <t>36 месяцев</t>
  </si>
  <si>
    <t>1620 – 1960</t>
  </si>
  <si>
    <t>37 месяцев</t>
  </si>
  <si>
    <t>1680 – 2020</t>
  </si>
  <si>
    <t>Зависимость срока разработки от трудоемкости</t>
  </si>
  <si>
    <t>Наименование показателя</t>
  </si>
  <si>
    <t>Норматив</t>
  </si>
  <si>
    <t>ПНР</t>
  </si>
  <si>
    <t>ПРП</t>
  </si>
  <si>
    <t xml:space="preserve">Рентабельность </t>
  </si>
  <si>
    <t>ПР</t>
  </si>
  <si>
    <t>L</t>
  </si>
  <si>
    <t>Накладные расходы (аренда, командировочные, канцелярские товары, отпускные и др.)</t>
  </si>
  <si>
    <t>Расходы периода (расходы на административный управленческий персонал и маркетинг)</t>
  </si>
  <si>
    <t>Значения нормативных коэффициентов расхода разработчика</t>
  </si>
  <si>
    <t>Коэффициент эластичности трудоемкости</t>
  </si>
  <si>
    <t>Коэффициент трудоемкости сопровождения ППО</t>
  </si>
  <si>
    <t>Нормы занятого персонала процесса поддержка эксплуатации</t>
  </si>
  <si>
    <t>Количество пользователей охваченных процессом поддержки</t>
  </si>
  <si>
    <t>Норма занятого персонала в подготовке процесса поддержка эксплуатации, чел.мес</t>
  </si>
  <si>
    <t>Норма занятого персонала в проведении эксплуатационных испытаний, чел.мес</t>
  </si>
  <si>
    <t>для учетных информационных систем</t>
  </si>
  <si>
    <t>для аналитических информационных систем</t>
  </si>
  <si>
    <t>Норма занятого персонала в поддержке пользователей системы, чел. мес</t>
  </si>
  <si>
    <t>1-50</t>
  </si>
  <si>
    <t>51-100</t>
  </si>
  <si>
    <t>101-200</t>
  </si>
  <si>
    <t>201-400</t>
  </si>
  <si>
    <t>Каждые дополнительные 100 пользователей</t>
  </si>
  <si>
    <t>+12</t>
  </si>
  <si>
    <t>+60</t>
  </si>
  <si>
    <t>Расчет трудоемкости создания ППО ИС</t>
  </si>
  <si>
    <t>S=КП1*S1+КП2*S2+КП3*S3+КП4*S4+КП5*S5+КП6*S6</t>
  </si>
  <si>
    <t>Расчет срока разработки ППО ИС</t>
  </si>
  <si>
    <t>Минимальное количество месяцев разработки ППО ИС</t>
  </si>
  <si>
    <t>Максимальное количество месяцев разработки ППО ИС</t>
  </si>
  <si>
    <t>Расчетный срок разработки ППО ИС в месяцах</t>
  </si>
  <si>
    <t>Требуемый срок разработки ППО ИС в месяцах</t>
  </si>
  <si>
    <t>Количество лет реализации проекта</t>
  </si>
  <si>
    <t>Оценка затрат на создание ППО ИС</t>
  </si>
  <si>
    <t>http://stat.gov.kz/getImg?id=ESTAT102272</t>
  </si>
  <si>
    <t>Средняя стоимость 1 человека-месяца инженера-программиста, по годам реализации</t>
  </si>
  <si>
    <t>Наименование/Годы</t>
  </si>
  <si>
    <t>ПСН</t>
  </si>
  <si>
    <t xml:space="preserve">Социальный налог с учетом отчислений в фонд обязательного социального страхования в процентах от среднемесячной заработной платы </t>
  </si>
  <si>
    <t>Налог на добавленную стоимость</t>
  </si>
  <si>
    <t>ПНДС</t>
  </si>
  <si>
    <t>Расчет коэффициента по нормам</t>
  </si>
  <si>
    <t>Распределение трудозатрат по годам</t>
  </si>
  <si>
    <t>Стоимость по годам</t>
  </si>
  <si>
    <t>Стоимость испытаний программного обеспечения</t>
  </si>
  <si>
    <t>Итого</t>
  </si>
  <si>
    <t>Коэффициент изменения МРП расчетного года техподдержки к МРП i-того года (года разработки)</t>
  </si>
  <si>
    <t>Ед. изм.</t>
  </si>
  <si>
    <t>%</t>
  </si>
  <si>
    <t>Месячный расчетный показатель с 1 января 2017 года (Закон РК «О республиканском бюджете на 2017-2019 годы» )</t>
  </si>
  <si>
    <t>Приведенная стоимость текущей версии ППО</t>
  </si>
  <si>
    <t>Расчет стоимости технической поддержки кодов программного обеспечения</t>
  </si>
  <si>
    <t>Сопровод</t>
  </si>
  <si>
    <t>К</t>
  </si>
  <si>
    <t>К=К2*К3*К16</t>
  </si>
  <si>
    <t>Для расчета стоимости технической поддержки кодов программного обеспечения</t>
  </si>
  <si>
    <t>Стоимость 1 года поддержки эксплуатации ППО ИС</t>
  </si>
  <si>
    <t>Расчет стоимости 1 года поддержки эксплуатации ППО ИС</t>
  </si>
  <si>
    <t xml:space="preserve">Норма занятого персонала в подготовке процесса поддержки эксплуатации </t>
  </si>
  <si>
    <t>Норма занятого персонала в проведении эксплуатационных испытаний</t>
  </si>
  <si>
    <t>Норма занятого персонала в поддержке пользователей системы</t>
  </si>
  <si>
    <t>Коэффициент потребности работ в проведении эксплуатационных испытаний</t>
  </si>
  <si>
    <t>Для оценки затрат на сопровождение ППО ИС</t>
  </si>
  <si>
    <t>Расчет стоимости сопровождения ППО ИС</t>
  </si>
  <si>
    <t>38 месяцев</t>
  </si>
  <si>
    <t>39 месяцев</t>
  </si>
  <si>
    <t>40 месяцев</t>
  </si>
  <si>
    <t>41 месяцев</t>
  </si>
  <si>
    <t>42 месяцев</t>
  </si>
  <si>
    <t>43 месяцев</t>
  </si>
  <si>
    <t>44 месяцев</t>
  </si>
  <si>
    <t>45 месяцев</t>
  </si>
  <si>
    <t>46 месяцев</t>
  </si>
  <si>
    <t>47 месяцев</t>
  </si>
  <si>
    <t>48 месяцев</t>
  </si>
  <si>
    <t>49 месяцев</t>
  </si>
  <si>
    <t>50 месяцев</t>
  </si>
  <si>
    <t>1720 - 2060</t>
  </si>
  <si>
    <t>1760 - 2100</t>
  </si>
  <si>
    <t>1800 - 2140</t>
  </si>
  <si>
    <t>1840 - 2180</t>
  </si>
  <si>
    <t>1880 - 2220</t>
  </si>
  <si>
    <t>1920 - 2260</t>
  </si>
  <si>
    <t>1960 - 2300</t>
  </si>
  <si>
    <t>2000 - 2340</t>
  </si>
  <si>
    <t>2040 - 2380</t>
  </si>
  <si>
    <t>2080 - 2420</t>
  </si>
  <si>
    <t>2120 - 2460</t>
  </si>
  <si>
    <t>2160 - 2500</t>
  </si>
  <si>
    <t>2200 - 2540</t>
  </si>
  <si>
    <t>Трудоемкость, при пересчете сжатия срока, с учетом коэффициента эластичности, чел/месяц</t>
  </si>
  <si>
    <t>Среднемесячная номинальная заработная плата одного работника по разделу «Профессиональная, научная и техническая деятельность» за 2017 год</t>
  </si>
  <si>
    <t xml:space="preserve">Средняя стоимость 1 человека-месяца </t>
  </si>
  <si>
    <t>Ежемесячная зарплата по профессии «Инженер программного обеспечения» для г. Астана (2019 год)</t>
  </si>
  <si>
    <t>https://taldau.stat.gov.kz/ru/NewIndex/GetIndex/702972?regionId=741880&amp;periodId=7</t>
  </si>
  <si>
    <t>Средний размер инфляции, за 3 предыдущих года (2017-2019 гг), %</t>
  </si>
  <si>
    <t>Среднемесячная номинальная заработная плата (на 2020 год с инфляцией)</t>
  </si>
  <si>
    <t>https://stat.gov.kz/official/dynamic</t>
  </si>
  <si>
    <t>Средний размер инфляции, за 3 предыдущих года (2017-2019 гг)</t>
  </si>
  <si>
    <t>Стоимость техподдержки кодов ППО ИС в течение одного года (2024 года)</t>
  </si>
  <si>
    <t>Стоимость сопровождения ППО ИС на год (2024 год)</t>
  </si>
  <si>
    <t>Только, если срок более 2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</si>
</sst>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/>
    <xf numFmtId="49" fontId="4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0" xfId="1"/>
    <xf numFmtId="0" fontId="0" fillId="0" borderId="4" xfId="0" applyBorder="1"/>
    <xf numFmtId="0" fontId="0" fillId="0" borderId="0" xfId="0" applyBorder="1"/>
    <xf numFmtId="4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164" fontId="1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/>
    <xf numFmtId="3" fontId="9" fillId="0" borderId="0" xfId="0" applyNumberFormat="1" applyFont="1"/>
    <xf numFmtId="0" fontId="4" fillId="0" borderId="0" xfId="0" applyFont="1" applyAlignment="1">
      <alignment horizontal="center"/>
    </xf>
    <xf numFmtId="3" fontId="12" fillId="2" borderId="1" xfId="0" applyNumberFormat="1" applyFont="1" applyFill="1" applyBorder="1" applyAlignment="1">
      <alignment horizontal="left" vertical="center" wrapText="1"/>
    </xf>
    <xf numFmtId="3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t.gov.kz/official/dynamic" TargetMode="External"/><Relationship Id="rId1" Type="http://schemas.openxmlformats.org/officeDocument/2006/relationships/hyperlink" Target="https://taldau.stat.gov.kz/ru/NewIndex/GetIndex/702972?regionId=741880&amp;periodId=7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stat.gov.kz/getImg?id=ESTAT1022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53"/>
  <sheetViews>
    <sheetView topLeftCell="A13" zoomScale="90" zoomScaleNormal="90" workbookViewId="0">
      <selection activeCell="K49" sqref="K49"/>
    </sheetView>
  </sheetViews>
  <sheetFormatPr defaultRowHeight="14.4" x14ac:dyDescent="0.3"/>
  <cols>
    <col min="2" max="2" width="5.44140625" customWidth="1"/>
    <col min="3" max="3" width="24" customWidth="1"/>
    <col min="4" max="4" width="13.6640625" customWidth="1"/>
    <col min="5" max="5" width="15.44140625" customWidth="1"/>
    <col min="6" max="6" width="15.5546875" customWidth="1"/>
    <col min="7" max="7" width="16.109375" customWidth="1"/>
    <col min="8" max="8" width="16.5546875" customWidth="1"/>
    <col min="9" max="9" width="17.5546875" customWidth="1"/>
    <col min="10" max="10" width="11" customWidth="1"/>
    <col min="11" max="11" width="13.88671875" customWidth="1"/>
    <col min="12" max="12" width="13.5546875" customWidth="1"/>
    <col min="13" max="13" width="13.88671875" customWidth="1"/>
    <col min="14" max="14" width="19.109375" customWidth="1"/>
  </cols>
  <sheetData>
    <row r="1" spans="2:8" ht="18" x14ac:dyDescent="0.35">
      <c r="C1" s="1" t="s">
        <v>162</v>
      </c>
    </row>
    <row r="2" spans="2:8" ht="78" x14ac:dyDescent="0.3">
      <c r="C2" s="8"/>
      <c r="D2" s="9" t="s">
        <v>16</v>
      </c>
      <c r="E2" s="9" t="s">
        <v>17</v>
      </c>
      <c r="F2" s="9" t="s">
        <v>18</v>
      </c>
      <c r="G2" s="9" t="s">
        <v>19</v>
      </c>
      <c r="H2" s="9" t="s">
        <v>20</v>
      </c>
    </row>
    <row r="3" spans="2:8" ht="15.6" x14ac:dyDescent="0.3">
      <c r="C3" s="10" t="s">
        <v>21</v>
      </c>
      <c r="D3" s="10" t="s">
        <v>22</v>
      </c>
      <c r="E3" s="10" t="s">
        <v>23</v>
      </c>
      <c r="F3" s="10" t="s">
        <v>24</v>
      </c>
      <c r="G3" s="10" t="s">
        <v>25</v>
      </c>
      <c r="H3" s="10" t="s">
        <v>26</v>
      </c>
    </row>
    <row r="4" spans="2:8" ht="15.6" x14ac:dyDescent="0.3">
      <c r="C4" s="10" t="s">
        <v>27</v>
      </c>
      <c r="D4" s="43">
        <v>118</v>
      </c>
      <c r="E4" s="44">
        <v>126</v>
      </c>
      <c r="F4" s="44">
        <v>276</v>
      </c>
      <c r="G4" s="44">
        <f>(E4/4)*(E4/4)</f>
        <v>992.25</v>
      </c>
      <c r="H4" s="43">
        <v>3</v>
      </c>
    </row>
    <row r="6" spans="2:8" ht="18" x14ac:dyDescent="0.35">
      <c r="B6" s="1" t="s">
        <v>15</v>
      </c>
    </row>
    <row r="7" spans="2:8" ht="15.6" x14ac:dyDescent="0.3">
      <c r="B7" s="49" t="s">
        <v>0</v>
      </c>
      <c r="C7" s="49" t="s">
        <v>1</v>
      </c>
      <c r="D7" s="49" t="s">
        <v>2</v>
      </c>
      <c r="E7" s="49"/>
      <c r="F7" s="49"/>
      <c r="G7" s="49"/>
      <c r="H7" s="49"/>
    </row>
    <row r="8" spans="2:8" ht="68.25" customHeight="1" x14ac:dyDescent="0.3">
      <c r="B8" s="49"/>
      <c r="C8" s="49"/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</row>
    <row r="9" spans="2:8" ht="15.6" x14ac:dyDescent="0.3">
      <c r="B9" s="49"/>
      <c r="C9" s="49"/>
      <c r="D9" s="49" t="s">
        <v>8</v>
      </c>
      <c r="E9" s="49"/>
      <c r="F9" s="49"/>
      <c r="G9" s="49"/>
      <c r="H9" s="49"/>
    </row>
    <row r="10" spans="2:8" ht="15.6" x14ac:dyDescent="0.3">
      <c r="B10" s="11">
        <v>1</v>
      </c>
      <c r="C10" s="12" t="s">
        <v>9</v>
      </c>
      <c r="D10" s="11">
        <v>32.119999999999997</v>
      </c>
      <c r="E10" s="11">
        <v>28.33</v>
      </c>
      <c r="F10" s="11">
        <v>0</v>
      </c>
      <c r="G10" s="11">
        <v>14.15</v>
      </c>
      <c r="H10" s="11">
        <v>0</v>
      </c>
    </row>
    <row r="11" spans="2:8" ht="31.2" x14ac:dyDescent="0.3">
      <c r="B11" s="11">
        <v>2</v>
      </c>
      <c r="C11" s="12" t="s">
        <v>10</v>
      </c>
      <c r="D11" s="11">
        <v>58.03</v>
      </c>
      <c r="E11" s="11">
        <v>28.04</v>
      </c>
      <c r="F11" s="11">
        <v>0</v>
      </c>
      <c r="G11" s="11">
        <v>20.32</v>
      </c>
      <c r="H11" s="11">
        <v>0</v>
      </c>
    </row>
    <row r="12" spans="2:8" ht="15.6" x14ac:dyDescent="0.3">
      <c r="B12" s="11">
        <v>3</v>
      </c>
      <c r="C12" s="12" t="s">
        <v>11</v>
      </c>
      <c r="D12" s="11">
        <v>45.42</v>
      </c>
      <c r="E12" s="11">
        <v>61.75</v>
      </c>
      <c r="F12" s="11">
        <v>31.35</v>
      </c>
      <c r="G12" s="11">
        <v>37.520000000000003</v>
      </c>
      <c r="H12" s="11">
        <v>24.02</v>
      </c>
    </row>
    <row r="13" spans="2:8" ht="15.6" x14ac:dyDescent="0.3">
      <c r="B13" s="11">
        <v>4</v>
      </c>
      <c r="C13" s="12" t="s">
        <v>12</v>
      </c>
      <c r="D13" s="11">
        <v>31.57</v>
      </c>
      <c r="E13" s="11">
        <v>81.510000000000005</v>
      </c>
      <c r="F13" s="11">
        <v>50.72</v>
      </c>
      <c r="G13" s="11">
        <v>36.11</v>
      </c>
      <c r="H13" s="11">
        <v>0</v>
      </c>
    </row>
    <row r="14" spans="2:8" ht="15.6" x14ac:dyDescent="0.3">
      <c r="B14" s="11">
        <v>5</v>
      </c>
      <c r="C14" s="12" t="s">
        <v>13</v>
      </c>
      <c r="D14" s="11">
        <v>88.96</v>
      </c>
      <c r="E14" s="11">
        <v>0</v>
      </c>
      <c r="F14" s="11">
        <v>0</v>
      </c>
      <c r="G14" s="11">
        <v>0</v>
      </c>
      <c r="H14" s="11">
        <v>0</v>
      </c>
    </row>
    <row r="15" spans="2:8" ht="15.6" x14ac:dyDescent="0.3">
      <c r="B15" s="11">
        <v>6</v>
      </c>
      <c r="C15" s="12" t="s">
        <v>14</v>
      </c>
      <c r="D15" s="11">
        <v>8.69</v>
      </c>
      <c r="E15" s="11">
        <v>0</v>
      </c>
      <c r="F15" s="11">
        <v>0</v>
      </c>
      <c r="G15" s="11">
        <v>0</v>
      </c>
      <c r="H15" s="11">
        <v>23.74</v>
      </c>
    </row>
    <row r="17" spans="2:9" ht="18" x14ac:dyDescent="0.35">
      <c r="B17" s="1" t="s">
        <v>163</v>
      </c>
    </row>
    <row r="18" spans="2:9" ht="15.6" x14ac:dyDescent="0.3">
      <c r="B18" s="49" t="s">
        <v>0</v>
      </c>
      <c r="C18" s="49" t="s">
        <v>1</v>
      </c>
      <c r="D18" s="49" t="s">
        <v>2</v>
      </c>
      <c r="E18" s="49"/>
      <c r="F18" s="49"/>
      <c r="G18" s="49"/>
      <c r="H18" s="49"/>
      <c r="I18" s="48" t="s">
        <v>165</v>
      </c>
    </row>
    <row r="19" spans="2:9" ht="62.4" x14ac:dyDescent="0.3">
      <c r="B19" s="49"/>
      <c r="C19" s="49"/>
      <c r="D19" s="9" t="s">
        <v>3</v>
      </c>
      <c r="E19" s="9" t="s">
        <v>4</v>
      </c>
      <c r="F19" s="9" t="s">
        <v>5</v>
      </c>
      <c r="G19" s="9" t="s">
        <v>6</v>
      </c>
      <c r="H19" s="9" t="s">
        <v>7</v>
      </c>
      <c r="I19" s="48"/>
    </row>
    <row r="20" spans="2:9" ht="15.75" customHeight="1" x14ac:dyDescent="0.3">
      <c r="B20" s="49"/>
      <c r="C20" s="49"/>
      <c r="D20" s="49" t="s">
        <v>164</v>
      </c>
      <c r="E20" s="49"/>
      <c r="F20" s="49"/>
      <c r="G20" s="49"/>
      <c r="H20" s="49"/>
      <c r="I20" s="49"/>
    </row>
    <row r="21" spans="2:9" ht="15.6" x14ac:dyDescent="0.3">
      <c r="B21" s="11">
        <v>1</v>
      </c>
      <c r="C21" s="12" t="s">
        <v>9</v>
      </c>
      <c r="D21" s="23">
        <f>($D$4*$D10)/165</f>
        <v>22.970666666666666</v>
      </c>
      <c r="E21" s="23">
        <f>($E$4*$E10)/165</f>
        <v>21.633818181818182</v>
      </c>
      <c r="F21" s="23">
        <f>($F$4*$F10)/165</f>
        <v>0</v>
      </c>
      <c r="G21" s="23">
        <f>($G$4*$G10)/165</f>
        <v>85.092954545454546</v>
      </c>
      <c r="H21" s="23">
        <f>($H$4*$H10)/165</f>
        <v>0</v>
      </c>
      <c r="I21" s="23">
        <f>SUM(D21:H21)</f>
        <v>129.69743939393939</v>
      </c>
    </row>
    <row r="22" spans="2:9" ht="31.2" x14ac:dyDescent="0.3">
      <c r="B22" s="11">
        <v>2</v>
      </c>
      <c r="C22" s="12" t="s">
        <v>10</v>
      </c>
      <c r="D22" s="23">
        <f t="shared" ref="D22:D26" si="0">($D$4*$D11)/165</f>
        <v>41.500242424242423</v>
      </c>
      <c r="E22" s="23">
        <f t="shared" ref="E22:E26" si="1">($E$4*$E11)/165</f>
        <v>21.412363636363636</v>
      </c>
      <c r="F22" s="23">
        <f t="shared" ref="F22:F26" si="2">($F$4*$F11)/165</f>
        <v>0</v>
      </c>
      <c r="G22" s="23">
        <f t="shared" ref="G22:G26" si="3">($G$4*$G11)/165</f>
        <v>122.19709090909092</v>
      </c>
      <c r="H22" s="23">
        <f t="shared" ref="H22:H26" si="4">($H$4*$H11)/165</f>
        <v>0</v>
      </c>
      <c r="I22" s="23">
        <f t="shared" ref="I22:I26" si="5">SUM(D22:H22)</f>
        <v>185.10969696969698</v>
      </c>
    </row>
    <row r="23" spans="2:9" ht="15.6" x14ac:dyDescent="0.3">
      <c r="B23" s="11">
        <v>3</v>
      </c>
      <c r="C23" s="12" t="s">
        <v>11</v>
      </c>
      <c r="D23" s="23">
        <f t="shared" si="0"/>
        <v>32.482181818181822</v>
      </c>
      <c r="E23" s="23">
        <f t="shared" si="1"/>
        <v>47.154545454545456</v>
      </c>
      <c r="F23" s="23">
        <f t="shared" si="2"/>
        <v>52.440000000000005</v>
      </c>
      <c r="G23" s="23">
        <f t="shared" si="3"/>
        <v>225.63163636363637</v>
      </c>
      <c r="H23" s="23">
        <f t="shared" si="4"/>
        <v>0.43672727272727274</v>
      </c>
      <c r="I23" s="23">
        <f t="shared" si="5"/>
        <v>358.14509090909092</v>
      </c>
    </row>
    <row r="24" spans="2:9" ht="15.6" x14ac:dyDescent="0.3">
      <c r="B24" s="11">
        <v>4</v>
      </c>
      <c r="C24" s="12" t="s">
        <v>12</v>
      </c>
      <c r="D24" s="23">
        <f t="shared" si="0"/>
        <v>22.577333333333335</v>
      </c>
      <c r="E24" s="23">
        <f t="shared" si="1"/>
        <v>62.244</v>
      </c>
      <c r="F24" s="23">
        <f t="shared" si="2"/>
        <v>84.840727272727264</v>
      </c>
      <c r="G24" s="23">
        <f t="shared" si="3"/>
        <v>217.15240909090909</v>
      </c>
      <c r="H24" s="23">
        <f t="shared" si="4"/>
        <v>0</v>
      </c>
      <c r="I24" s="23">
        <f t="shared" si="5"/>
        <v>386.8144696969697</v>
      </c>
    </row>
    <row r="25" spans="2:9" ht="15.6" x14ac:dyDescent="0.3">
      <c r="B25" s="11">
        <v>5</v>
      </c>
      <c r="C25" s="12" t="s">
        <v>13</v>
      </c>
      <c r="D25" s="23">
        <f t="shared" si="0"/>
        <v>63.619878787878783</v>
      </c>
      <c r="E25" s="23">
        <f t="shared" si="1"/>
        <v>0</v>
      </c>
      <c r="F25" s="23">
        <f t="shared" si="2"/>
        <v>0</v>
      </c>
      <c r="G25" s="23">
        <f t="shared" si="3"/>
        <v>0</v>
      </c>
      <c r="H25" s="23">
        <f t="shared" si="4"/>
        <v>0</v>
      </c>
      <c r="I25" s="23">
        <f t="shared" si="5"/>
        <v>63.619878787878783</v>
      </c>
    </row>
    <row r="26" spans="2:9" ht="15.6" x14ac:dyDescent="0.3">
      <c r="B26" s="11">
        <v>6</v>
      </c>
      <c r="C26" s="12" t="s">
        <v>14</v>
      </c>
      <c r="D26" s="23">
        <f t="shared" si="0"/>
        <v>6.2146666666666661</v>
      </c>
      <c r="E26" s="23">
        <f t="shared" si="1"/>
        <v>0</v>
      </c>
      <c r="F26" s="23">
        <f t="shared" si="2"/>
        <v>0</v>
      </c>
      <c r="G26" s="23">
        <f t="shared" si="3"/>
        <v>0</v>
      </c>
      <c r="H26" s="23">
        <f t="shared" si="4"/>
        <v>0.43163636363636365</v>
      </c>
      <c r="I26" s="23">
        <f t="shared" si="5"/>
        <v>6.6463030303030299</v>
      </c>
    </row>
    <row r="29" spans="2:9" ht="18" x14ac:dyDescent="0.35">
      <c r="B29" s="1" t="s">
        <v>269</v>
      </c>
    </row>
    <row r="30" spans="2:9" ht="18.75" customHeight="1" x14ac:dyDescent="0.3">
      <c r="B30" s="7"/>
      <c r="C30" s="46" t="s">
        <v>270</v>
      </c>
      <c r="D30" s="46"/>
      <c r="E30" s="46"/>
      <c r="F30" s="46"/>
      <c r="G30" s="24">
        <f>'Поправочные коэффициенты'!$E$3*'Создание и развитие ППО'!$I$21+'Поправочные коэффициенты'!$E$4*'Создание и развитие ППО'!$I$22+'Поправочные коэффициенты'!$E$5*'Создание и развитие ППО'!$I$23+'Поправочные коэффициенты'!$E$6*'Создание и развитие ППО'!$I$24+'Поправочные коэффициенты'!$E$7*'Создание и развитие ППО'!$I$25+'Поправочные коэффициенты'!$E$8+'Создание и развитие ППО'!$I$26</f>
        <v>1523.2765134156798</v>
      </c>
      <c r="H30" s="39"/>
    </row>
    <row r="32" spans="2:9" ht="18" x14ac:dyDescent="0.35">
      <c r="B32" s="1" t="s">
        <v>271</v>
      </c>
    </row>
    <row r="33" spans="2:13" ht="15.6" x14ac:dyDescent="0.3">
      <c r="B33" s="7"/>
      <c r="C33" s="46" t="s">
        <v>272</v>
      </c>
      <c r="D33" s="46"/>
      <c r="E33" s="46"/>
      <c r="F33" s="46"/>
      <c r="G33" s="22">
        <v>32</v>
      </c>
    </row>
    <row r="34" spans="2:13" ht="15.6" x14ac:dyDescent="0.3">
      <c r="B34" s="7"/>
      <c r="C34" s="46" t="s">
        <v>273</v>
      </c>
      <c r="D34" s="46"/>
      <c r="E34" s="46"/>
      <c r="F34" s="46"/>
      <c r="G34" s="22">
        <v>34</v>
      </c>
    </row>
    <row r="35" spans="2:13" ht="15.6" x14ac:dyDescent="0.3">
      <c r="B35" s="7"/>
      <c r="C35" s="46" t="s">
        <v>274</v>
      </c>
      <c r="D35" s="46"/>
      <c r="E35" s="46"/>
      <c r="F35" s="46"/>
      <c r="G35" s="22">
        <f>(G34+G33)/2</f>
        <v>33</v>
      </c>
      <c r="H35" s="22"/>
    </row>
    <row r="36" spans="2:13" ht="15.6" x14ac:dyDescent="0.3">
      <c r="B36" s="7"/>
      <c r="C36" s="46" t="s">
        <v>275</v>
      </c>
      <c r="D36" s="46"/>
      <c r="E36" s="46"/>
      <c r="F36" s="46"/>
      <c r="G36" s="22">
        <v>24</v>
      </c>
    </row>
    <row r="37" spans="2:13" ht="33" customHeight="1" x14ac:dyDescent="0.3">
      <c r="B37" s="7"/>
      <c r="C37" s="46" t="s">
        <v>334</v>
      </c>
      <c r="D37" s="46"/>
      <c r="E37" s="46"/>
      <c r="F37" s="46"/>
      <c r="G37" s="24">
        <f>IF(((G35-G36)*'Нормы и срок'!E6/'Создание и развитие ППО'!G35)&lt;=0, 0, ((G35-G36)*'Нормы и срок'!E6/'Создание и развитие ППО'!G35)*G30+G30)</f>
        <v>1834.8558002507052</v>
      </c>
      <c r="H37" s="42" t="s">
        <v>345</v>
      </c>
    </row>
    <row r="38" spans="2:13" ht="15.6" x14ac:dyDescent="0.3">
      <c r="B38" s="7"/>
      <c r="C38" s="46" t="s">
        <v>276</v>
      </c>
      <c r="D38" s="46"/>
      <c r="E38" s="46"/>
      <c r="F38" s="46"/>
      <c r="G38" s="22">
        <v>2</v>
      </c>
    </row>
    <row r="40" spans="2:13" ht="18" x14ac:dyDescent="0.35">
      <c r="B40" s="1" t="s">
        <v>277</v>
      </c>
    </row>
    <row r="41" spans="2:13" ht="34.5" customHeight="1" x14ac:dyDescent="0.3">
      <c r="B41" s="7"/>
      <c r="C41" s="46" t="s">
        <v>337</v>
      </c>
      <c r="D41" s="46"/>
      <c r="E41" s="46"/>
      <c r="F41" s="46"/>
      <c r="G41" s="22">
        <v>240320</v>
      </c>
      <c r="H41" s="25" t="s">
        <v>338</v>
      </c>
    </row>
    <row r="42" spans="2:13" ht="15.6" x14ac:dyDescent="0.3">
      <c r="B42" s="7"/>
      <c r="C42" s="46" t="s">
        <v>339</v>
      </c>
      <c r="D42" s="46"/>
      <c r="E42" s="46"/>
      <c r="F42" s="46"/>
      <c r="G42" s="24">
        <f>(7.1+5.3+5.4)/3</f>
        <v>5.9333333333333327</v>
      </c>
      <c r="H42" s="25" t="s">
        <v>341</v>
      </c>
    </row>
    <row r="43" spans="2:13" ht="29.25" customHeight="1" x14ac:dyDescent="0.3">
      <c r="B43" s="7"/>
      <c r="C43" s="46" t="s">
        <v>340</v>
      </c>
      <c r="D43" s="46"/>
      <c r="E43" s="46"/>
      <c r="F43" s="46"/>
      <c r="G43" s="22">
        <f>G41*(1+G42/100)</f>
        <v>254578.98666666663</v>
      </c>
      <c r="H43" s="25"/>
    </row>
    <row r="44" spans="2:13" ht="15.75" customHeight="1" thickBot="1" x14ac:dyDescent="0.35">
      <c r="B44" s="7"/>
      <c r="C44" s="46" t="s">
        <v>285</v>
      </c>
      <c r="D44" s="46"/>
      <c r="E44" s="46"/>
      <c r="F44" s="46"/>
      <c r="G44" s="30">
        <f>(1+(0.9*'Нормы и срок'!$E$8+'Нормы и срок'!$E$3+'Нормы и срок'!$E$4)/100)*(1+'Нормы и срок'!$E$5/100)*(1+'Нормы и срок'!$E$9/100)</f>
        <v>3.2116000000000007</v>
      </c>
      <c r="H44" s="25"/>
      <c r="K44" s="41"/>
      <c r="L44" s="41"/>
      <c r="M44" s="41"/>
    </row>
    <row r="45" spans="2:13" ht="15.75" customHeight="1" x14ac:dyDescent="0.3">
      <c r="B45" s="27"/>
      <c r="C45" s="16"/>
      <c r="D45" s="16"/>
      <c r="E45" s="16"/>
      <c r="F45" s="16"/>
      <c r="G45" s="29"/>
      <c r="H45" s="25"/>
    </row>
    <row r="46" spans="2:13" ht="15.6" x14ac:dyDescent="0.3">
      <c r="B46" s="7"/>
      <c r="C46" s="47" t="s">
        <v>280</v>
      </c>
      <c r="D46" s="47"/>
      <c r="E46" s="47"/>
      <c r="F46" s="47"/>
      <c r="G46" s="31">
        <v>2022</v>
      </c>
      <c r="H46" s="31">
        <v>2023</v>
      </c>
      <c r="I46" s="31"/>
    </row>
    <row r="47" spans="2:13" ht="34.5" customHeight="1" x14ac:dyDescent="0.3">
      <c r="B47" s="7"/>
      <c r="C47" s="46" t="s">
        <v>279</v>
      </c>
      <c r="D47" s="46"/>
      <c r="E47" s="46"/>
      <c r="F47" s="46"/>
      <c r="G47" s="24">
        <f>G43*G44</f>
        <v>817605.87357866671</v>
      </c>
      <c r="H47" s="24">
        <f>G43*(1+G42/100)*G44</f>
        <v>866117.15541100095</v>
      </c>
      <c r="I47" s="24"/>
    </row>
    <row r="48" spans="2:13" ht="15.6" x14ac:dyDescent="0.3">
      <c r="B48" s="7"/>
      <c r="C48" s="46" t="s">
        <v>286</v>
      </c>
      <c r="D48" s="46"/>
      <c r="E48" s="46"/>
      <c r="F48" s="46"/>
      <c r="G48" s="22">
        <f>$G$37*J48</f>
        <v>917.42790012535261</v>
      </c>
      <c r="H48" s="22">
        <f>$G$37*K48</f>
        <v>917.42790012535261</v>
      </c>
      <c r="I48" s="22"/>
      <c r="J48">
        <v>0.5</v>
      </c>
      <c r="K48">
        <v>0.5</v>
      </c>
    </row>
    <row r="49" spans="2:14" ht="15.6" x14ac:dyDescent="0.3">
      <c r="B49" s="7"/>
      <c r="C49" s="46" t="s">
        <v>287</v>
      </c>
      <c r="D49" s="46"/>
      <c r="E49" s="46"/>
      <c r="F49" s="46"/>
      <c r="G49" s="24">
        <f>G47*G48/1000</f>
        <v>750094.4397274307</v>
      </c>
      <c r="H49" s="24">
        <f t="shared" ref="H49" si="6">H47*H48/1000</f>
        <v>794600.04315125826</v>
      </c>
      <c r="I49" s="24"/>
      <c r="K49" s="35">
        <f>SUM(G49:I49)</f>
        <v>1544694.482878689</v>
      </c>
      <c r="M49" s="35"/>
      <c r="N49" s="36"/>
    </row>
    <row r="50" spans="2:14" ht="15.6" x14ac:dyDescent="0.3">
      <c r="B50" s="26"/>
      <c r="C50" s="46" t="s">
        <v>288</v>
      </c>
      <c r="D50" s="46"/>
      <c r="E50" s="46"/>
      <c r="F50" s="46"/>
      <c r="G50" s="22"/>
      <c r="H50" s="7"/>
      <c r="I50" s="24"/>
    </row>
    <row r="51" spans="2:14" ht="15.6" x14ac:dyDescent="0.3">
      <c r="B51" s="7"/>
      <c r="C51" s="46" t="s">
        <v>289</v>
      </c>
      <c r="D51" s="46"/>
      <c r="E51" s="46"/>
      <c r="F51" s="46"/>
      <c r="G51" s="24">
        <f>G49+G50</f>
        <v>750094.4397274307</v>
      </c>
      <c r="H51" s="24">
        <f t="shared" ref="H51" si="7">H49+H50</f>
        <v>794600.04315125826</v>
      </c>
      <c r="I51" s="24"/>
    </row>
    <row r="53" spans="2:14" ht="18" x14ac:dyDescent="0.3">
      <c r="G53" s="38"/>
      <c r="H53" s="38"/>
      <c r="I53" s="38"/>
    </row>
  </sheetData>
  <mergeCells count="26">
    <mergeCell ref="B7:B9"/>
    <mergeCell ref="C7:C9"/>
    <mergeCell ref="D7:H7"/>
    <mergeCell ref="D9:H9"/>
    <mergeCell ref="B18:B20"/>
    <mergeCell ref="C18:C20"/>
    <mergeCell ref="D18:H18"/>
    <mergeCell ref="C30:F30"/>
    <mergeCell ref="C33:F33"/>
    <mergeCell ref="C34:F34"/>
    <mergeCell ref="C35:F35"/>
    <mergeCell ref="I18:I19"/>
    <mergeCell ref="D20:I20"/>
    <mergeCell ref="C36:F36"/>
    <mergeCell ref="C37:F37"/>
    <mergeCell ref="C38:F38"/>
    <mergeCell ref="C41:F41"/>
    <mergeCell ref="C42:F42"/>
    <mergeCell ref="C50:F50"/>
    <mergeCell ref="C51:F51"/>
    <mergeCell ref="C47:F47"/>
    <mergeCell ref="C48:F48"/>
    <mergeCell ref="C43:F43"/>
    <mergeCell ref="C46:F46"/>
    <mergeCell ref="C44:F44"/>
    <mergeCell ref="C49:F49"/>
  </mergeCells>
  <hyperlinks>
    <hyperlink ref="H41" r:id="rId1" xr:uid="{00000000-0004-0000-0000-000000000000}"/>
    <hyperlink ref="H42" r:id="rId2" xr:uid="{00000000-0004-0000-0000-000001000000}"/>
  </hyperlinks>
  <pageMargins left="0.7" right="0.7" top="0.75" bottom="0.75" header="0.3" footer="0.3"/>
  <pageSetup paperSize="9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73"/>
  <sheetViews>
    <sheetView topLeftCell="A37" zoomScale="85" zoomScaleNormal="85" workbookViewId="0">
      <selection activeCell="F45" sqref="F45"/>
    </sheetView>
  </sheetViews>
  <sheetFormatPr defaultColWidth="9.109375" defaultRowHeight="15.6" x14ac:dyDescent="0.3"/>
  <cols>
    <col min="1" max="1" width="9.109375" style="13"/>
    <col min="2" max="2" width="7" style="13" customWidth="1"/>
    <col min="3" max="3" width="31.109375" style="13" customWidth="1"/>
    <col min="4" max="4" width="21.33203125" style="13" customWidth="1"/>
    <col min="5" max="5" width="21.5546875" style="13" customWidth="1"/>
    <col min="6" max="7" width="15.6640625" style="13" customWidth="1"/>
    <col min="8" max="16384" width="9.109375" style="13"/>
  </cols>
  <sheetData>
    <row r="1" spans="2:7" ht="18" x14ac:dyDescent="0.35">
      <c r="B1" s="1" t="s">
        <v>252</v>
      </c>
    </row>
    <row r="2" spans="2:7" x14ac:dyDescent="0.3">
      <c r="B2" s="9" t="s">
        <v>0</v>
      </c>
      <c r="C2" s="9" t="s">
        <v>243</v>
      </c>
      <c r="D2" s="9" t="s">
        <v>143</v>
      </c>
      <c r="E2" s="9" t="s">
        <v>244</v>
      </c>
      <c r="F2" s="9" t="s">
        <v>291</v>
      </c>
    </row>
    <row r="3" spans="2:7" ht="62.4" x14ac:dyDescent="0.3">
      <c r="B3" s="11">
        <v>1</v>
      </c>
      <c r="C3" s="14" t="s">
        <v>250</v>
      </c>
      <c r="D3" s="11" t="s">
        <v>245</v>
      </c>
      <c r="E3" s="34">
        <f>0.715*100</f>
        <v>71.5</v>
      </c>
      <c r="F3" s="33" t="s">
        <v>292</v>
      </c>
    </row>
    <row r="4" spans="2:7" ht="62.4" x14ac:dyDescent="0.3">
      <c r="B4" s="11">
        <v>2</v>
      </c>
      <c r="C4" s="14" t="s">
        <v>251</v>
      </c>
      <c r="D4" s="11" t="s">
        <v>246</v>
      </c>
      <c r="E4" s="34">
        <f>0.48*100</f>
        <v>48</v>
      </c>
      <c r="F4" s="33" t="s">
        <v>292</v>
      </c>
    </row>
    <row r="5" spans="2:7" x14ac:dyDescent="0.3">
      <c r="B5" s="11">
        <v>3</v>
      </c>
      <c r="C5" s="14" t="s">
        <v>247</v>
      </c>
      <c r="D5" s="11" t="s">
        <v>248</v>
      </c>
      <c r="E5" s="34">
        <f>0.25*100</f>
        <v>25</v>
      </c>
      <c r="F5" s="33" t="s">
        <v>292</v>
      </c>
    </row>
    <row r="6" spans="2:7" ht="31.2" x14ac:dyDescent="0.3">
      <c r="B6" s="11">
        <v>4</v>
      </c>
      <c r="C6" s="14" t="s">
        <v>253</v>
      </c>
      <c r="D6" s="11" t="s">
        <v>249</v>
      </c>
      <c r="E6" s="11">
        <v>0.75</v>
      </c>
      <c r="F6" s="18"/>
    </row>
    <row r="7" spans="2:7" ht="31.2" x14ac:dyDescent="0.3">
      <c r="B7" s="11">
        <v>5</v>
      </c>
      <c r="C7" s="14" t="s">
        <v>254</v>
      </c>
      <c r="D7" s="11" t="s">
        <v>26</v>
      </c>
      <c r="E7" s="34">
        <f>0.15*100</f>
        <v>15</v>
      </c>
      <c r="F7" s="33" t="s">
        <v>292</v>
      </c>
    </row>
    <row r="8" spans="2:7" ht="93.6" x14ac:dyDescent="0.3">
      <c r="B8" s="11">
        <v>6</v>
      </c>
      <c r="C8" s="14" t="s">
        <v>282</v>
      </c>
      <c r="D8" s="11" t="s">
        <v>281</v>
      </c>
      <c r="E8" s="34">
        <f>0.11*100</f>
        <v>11</v>
      </c>
      <c r="F8" s="33" t="s">
        <v>292</v>
      </c>
    </row>
    <row r="9" spans="2:7" ht="31.2" x14ac:dyDescent="0.3">
      <c r="B9" s="11">
        <v>7</v>
      </c>
      <c r="C9" s="14" t="s">
        <v>283</v>
      </c>
      <c r="D9" s="11" t="s">
        <v>284</v>
      </c>
      <c r="E9" s="34">
        <f>0.12*100</f>
        <v>12</v>
      </c>
      <c r="F9" s="33" t="s">
        <v>292</v>
      </c>
    </row>
    <row r="10" spans="2:7" x14ac:dyDescent="0.3">
      <c r="B10" s="15"/>
      <c r="C10" s="16"/>
      <c r="D10" s="15"/>
      <c r="E10" s="17"/>
    </row>
    <row r="11" spans="2:7" ht="18" x14ac:dyDescent="0.35">
      <c r="C11" s="1" t="s">
        <v>255</v>
      </c>
    </row>
    <row r="12" spans="2:7" ht="48.75" customHeight="1" x14ac:dyDescent="0.3">
      <c r="C12" s="51" t="s">
        <v>256</v>
      </c>
      <c r="D12" s="51" t="s">
        <v>257</v>
      </c>
      <c r="E12" s="51" t="s">
        <v>258</v>
      </c>
      <c r="F12" s="50" t="s">
        <v>261</v>
      </c>
      <c r="G12" s="50"/>
    </row>
    <row r="13" spans="2:7" ht="62.4" x14ac:dyDescent="0.3">
      <c r="C13" s="52"/>
      <c r="D13" s="52"/>
      <c r="E13" s="52"/>
      <c r="F13" s="19" t="s">
        <v>259</v>
      </c>
      <c r="G13" s="19" t="s">
        <v>260</v>
      </c>
    </row>
    <row r="14" spans="2:7" x14ac:dyDescent="0.3">
      <c r="C14" s="20" t="s">
        <v>262</v>
      </c>
      <c r="D14" s="53">
        <v>1</v>
      </c>
      <c r="E14" s="53">
        <v>6</v>
      </c>
      <c r="F14" s="18">
        <v>12</v>
      </c>
      <c r="G14" s="18">
        <v>60</v>
      </c>
    </row>
    <row r="15" spans="2:7" x14ac:dyDescent="0.3">
      <c r="C15" s="20" t="s">
        <v>263</v>
      </c>
      <c r="D15" s="54"/>
      <c r="E15" s="54"/>
      <c r="F15" s="18">
        <v>24</v>
      </c>
      <c r="G15" s="18">
        <v>120</v>
      </c>
    </row>
    <row r="16" spans="2:7" x14ac:dyDescent="0.3">
      <c r="C16" s="20" t="s">
        <v>264</v>
      </c>
      <c r="D16" s="54"/>
      <c r="E16" s="54"/>
      <c r="F16" s="18">
        <v>36</v>
      </c>
      <c r="G16" s="18">
        <v>180</v>
      </c>
    </row>
    <row r="17" spans="2:7" x14ac:dyDescent="0.3">
      <c r="C17" s="20" t="s">
        <v>265</v>
      </c>
      <c r="D17" s="54"/>
      <c r="E17" s="54"/>
      <c r="F17" s="18">
        <v>48</v>
      </c>
      <c r="G17" s="18">
        <v>240</v>
      </c>
    </row>
    <row r="18" spans="2:7" ht="31.2" x14ac:dyDescent="0.3">
      <c r="C18" s="21" t="s">
        <v>266</v>
      </c>
      <c r="D18" s="55"/>
      <c r="E18" s="55"/>
      <c r="F18" s="20" t="s">
        <v>267</v>
      </c>
      <c r="G18" s="20" t="s">
        <v>268</v>
      </c>
    </row>
    <row r="20" spans="2:7" ht="18" x14ac:dyDescent="0.35">
      <c r="B20" s="1" t="s">
        <v>242</v>
      </c>
    </row>
    <row r="21" spans="2:7" ht="31.2" x14ac:dyDescent="0.3">
      <c r="B21" s="3" t="s">
        <v>0</v>
      </c>
      <c r="C21" s="9" t="s">
        <v>166</v>
      </c>
      <c r="D21" s="9" t="s">
        <v>167</v>
      </c>
    </row>
    <row r="22" spans="2:7" x14ac:dyDescent="0.3">
      <c r="B22" s="11">
        <v>1</v>
      </c>
      <c r="C22" s="11" t="s">
        <v>168</v>
      </c>
      <c r="D22" s="11" t="s">
        <v>169</v>
      </c>
    </row>
    <row r="23" spans="2:7" x14ac:dyDescent="0.3">
      <c r="B23" s="11">
        <v>2</v>
      </c>
      <c r="C23" s="11" t="s">
        <v>170</v>
      </c>
      <c r="D23" s="11" t="s">
        <v>171</v>
      </c>
    </row>
    <row r="24" spans="2:7" x14ac:dyDescent="0.3">
      <c r="B24" s="11">
        <v>3</v>
      </c>
      <c r="C24" s="11" t="s">
        <v>172</v>
      </c>
      <c r="D24" s="11" t="s">
        <v>173</v>
      </c>
    </row>
    <row r="25" spans="2:7" x14ac:dyDescent="0.3">
      <c r="B25" s="11">
        <v>4</v>
      </c>
      <c r="C25" s="11" t="s">
        <v>174</v>
      </c>
      <c r="D25" s="11" t="s">
        <v>175</v>
      </c>
    </row>
    <row r="26" spans="2:7" x14ac:dyDescent="0.3">
      <c r="B26" s="11">
        <v>5</v>
      </c>
      <c r="C26" s="11" t="s">
        <v>176</v>
      </c>
      <c r="D26" s="11" t="s">
        <v>177</v>
      </c>
    </row>
    <row r="27" spans="2:7" x14ac:dyDescent="0.3">
      <c r="B27" s="11">
        <v>6</v>
      </c>
      <c r="C27" s="11" t="s">
        <v>178</v>
      </c>
      <c r="D27" s="11" t="s">
        <v>179</v>
      </c>
    </row>
    <row r="28" spans="2:7" x14ac:dyDescent="0.3">
      <c r="B28" s="11">
        <v>7</v>
      </c>
      <c r="C28" s="11" t="s">
        <v>180</v>
      </c>
      <c r="D28" s="11" t="s">
        <v>181</v>
      </c>
    </row>
    <row r="29" spans="2:7" x14ac:dyDescent="0.3">
      <c r="B29" s="11">
        <v>8</v>
      </c>
      <c r="C29" s="11" t="s">
        <v>182</v>
      </c>
      <c r="D29" s="11" t="s">
        <v>183</v>
      </c>
    </row>
    <row r="30" spans="2:7" x14ac:dyDescent="0.3">
      <c r="B30" s="11">
        <v>9</v>
      </c>
      <c r="C30" s="11" t="s">
        <v>184</v>
      </c>
      <c r="D30" s="11" t="s">
        <v>185</v>
      </c>
    </row>
    <row r="31" spans="2:7" x14ac:dyDescent="0.3">
      <c r="B31" s="11">
        <v>10</v>
      </c>
      <c r="C31" s="11" t="s">
        <v>186</v>
      </c>
      <c r="D31" s="11" t="s">
        <v>187</v>
      </c>
    </row>
    <row r="32" spans="2:7" x14ac:dyDescent="0.3">
      <c r="B32" s="11">
        <v>11</v>
      </c>
      <c r="C32" s="11" t="s">
        <v>188</v>
      </c>
      <c r="D32" s="11" t="s">
        <v>189</v>
      </c>
    </row>
    <row r="33" spans="2:4" x14ac:dyDescent="0.3">
      <c r="B33" s="11">
        <v>12</v>
      </c>
      <c r="C33" s="11" t="s">
        <v>190</v>
      </c>
      <c r="D33" s="11" t="s">
        <v>191</v>
      </c>
    </row>
    <row r="34" spans="2:4" x14ac:dyDescent="0.3">
      <c r="B34" s="11">
        <v>13</v>
      </c>
      <c r="C34" s="11" t="s">
        <v>192</v>
      </c>
      <c r="D34" s="11" t="s">
        <v>193</v>
      </c>
    </row>
    <row r="35" spans="2:4" x14ac:dyDescent="0.3">
      <c r="B35" s="11">
        <v>14</v>
      </c>
      <c r="C35" s="11" t="s">
        <v>194</v>
      </c>
      <c r="D35" s="11" t="s">
        <v>195</v>
      </c>
    </row>
    <row r="36" spans="2:4" x14ac:dyDescent="0.3">
      <c r="B36" s="11">
        <v>15</v>
      </c>
      <c r="C36" s="11" t="s">
        <v>196</v>
      </c>
      <c r="D36" s="11" t="s">
        <v>197</v>
      </c>
    </row>
    <row r="37" spans="2:4" x14ac:dyDescent="0.3">
      <c r="B37" s="11">
        <v>16</v>
      </c>
      <c r="C37" s="40" t="s">
        <v>198</v>
      </c>
      <c r="D37" s="11" t="s">
        <v>199</v>
      </c>
    </row>
    <row r="38" spans="2:4" x14ac:dyDescent="0.3">
      <c r="B38" s="11">
        <v>17</v>
      </c>
      <c r="C38" s="11" t="s">
        <v>200</v>
      </c>
      <c r="D38" s="11" t="s">
        <v>201</v>
      </c>
    </row>
    <row r="39" spans="2:4" x14ac:dyDescent="0.3">
      <c r="B39" s="11">
        <v>18</v>
      </c>
      <c r="C39" s="11" t="s">
        <v>202</v>
      </c>
      <c r="D39" s="11" t="s">
        <v>203</v>
      </c>
    </row>
    <row r="40" spans="2:4" x14ac:dyDescent="0.3">
      <c r="B40" s="11">
        <v>19</v>
      </c>
      <c r="C40" s="11" t="s">
        <v>204</v>
      </c>
      <c r="D40" s="11" t="s">
        <v>205</v>
      </c>
    </row>
    <row r="41" spans="2:4" x14ac:dyDescent="0.3">
      <c r="B41" s="40">
        <v>20</v>
      </c>
      <c r="C41" s="40" t="s">
        <v>206</v>
      </c>
      <c r="D41" s="40" t="s">
        <v>207</v>
      </c>
    </row>
    <row r="42" spans="2:4" x14ac:dyDescent="0.3">
      <c r="B42" s="40">
        <v>21</v>
      </c>
      <c r="C42" s="40" t="s">
        <v>208</v>
      </c>
      <c r="D42" s="40" t="s">
        <v>209</v>
      </c>
    </row>
    <row r="43" spans="2:4" x14ac:dyDescent="0.3">
      <c r="B43" s="11">
        <v>22</v>
      </c>
      <c r="C43" s="11" t="s">
        <v>210</v>
      </c>
      <c r="D43" s="11" t="s">
        <v>211</v>
      </c>
    </row>
    <row r="44" spans="2:4" x14ac:dyDescent="0.3">
      <c r="B44" s="40">
        <v>23</v>
      </c>
      <c r="C44" s="40" t="s">
        <v>212</v>
      </c>
      <c r="D44" s="40" t="s">
        <v>213</v>
      </c>
    </row>
    <row r="45" spans="2:4" x14ac:dyDescent="0.3">
      <c r="B45" s="40">
        <v>24</v>
      </c>
      <c r="C45" s="40" t="s">
        <v>214</v>
      </c>
      <c r="D45" s="40" t="s">
        <v>215</v>
      </c>
    </row>
    <row r="46" spans="2:4" x14ac:dyDescent="0.3">
      <c r="B46" s="11">
        <v>25</v>
      </c>
      <c r="C46" s="11" t="s">
        <v>216</v>
      </c>
      <c r="D46" s="11" t="s">
        <v>217</v>
      </c>
    </row>
    <row r="47" spans="2:4" x14ac:dyDescent="0.3">
      <c r="B47" s="11">
        <v>26</v>
      </c>
      <c r="C47" s="11" t="s">
        <v>218</v>
      </c>
      <c r="D47" s="11" t="s">
        <v>219</v>
      </c>
    </row>
    <row r="48" spans="2:4" x14ac:dyDescent="0.3">
      <c r="B48" s="11">
        <v>27</v>
      </c>
      <c r="C48" s="40" t="s">
        <v>220</v>
      </c>
      <c r="D48" s="11" t="s">
        <v>221</v>
      </c>
    </row>
    <row r="49" spans="2:6" x14ac:dyDescent="0.3">
      <c r="B49" s="40">
        <v>28</v>
      </c>
      <c r="C49" s="40" t="s">
        <v>222</v>
      </c>
      <c r="D49" s="40" t="s">
        <v>223</v>
      </c>
    </row>
    <row r="50" spans="2:6" x14ac:dyDescent="0.3">
      <c r="B50" s="40">
        <v>29</v>
      </c>
      <c r="C50" s="40" t="s">
        <v>224</v>
      </c>
      <c r="D50" s="40" t="s">
        <v>225</v>
      </c>
    </row>
    <row r="51" spans="2:6" x14ac:dyDescent="0.3">
      <c r="B51" s="40">
        <v>30</v>
      </c>
      <c r="C51" s="40" t="s">
        <v>226</v>
      </c>
      <c r="D51" s="40" t="s">
        <v>227</v>
      </c>
    </row>
    <row r="52" spans="2:6" x14ac:dyDescent="0.3">
      <c r="B52" s="40">
        <v>31</v>
      </c>
      <c r="C52" s="40" t="s">
        <v>228</v>
      </c>
      <c r="D52" s="40" t="s">
        <v>229</v>
      </c>
    </row>
    <row r="53" spans="2:6" x14ac:dyDescent="0.3">
      <c r="B53" s="45">
        <v>32</v>
      </c>
      <c r="C53" s="45" t="s">
        <v>230</v>
      </c>
      <c r="D53" s="45" t="s">
        <v>231</v>
      </c>
    </row>
    <row r="54" spans="2:6" x14ac:dyDescent="0.3">
      <c r="B54" s="40">
        <v>33</v>
      </c>
      <c r="C54" s="40" t="s">
        <v>232</v>
      </c>
      <c r="D54" s="40" t="s">
        <v>233</v>
      </c>
    </row>
    <row r="55" spans="2:6" x14ac:dyDescent="0.3">
      <c r="B55" s="45">
        <v>34</v>
      </c>
      <c r="C55" s="45" t="s">
        <v>234</v>
      </c>
      <c r="D55" s="45" t="s">
        <v>235</v>
      </c>
    </row>
    <row r="56" spans="2:6" x14ac:dyDescent="0.3">
      <c r="B56" s="11">
        <v>35</v>
      </c>
      <c r="C56" s="11" t="s">
        <v>236</v>
      </c>
      <c r="D56" s="11" t="s">
        <v>237</v>
      </c>
    </row>
    <row r="57" spans="2:6" x14ac:dyDescent="0.3">
      <c r="B57" s="11">
        <v>36</v>
      </c>
      <c r="C57" s="11" t="s">
        <v>238</v>
      </c>
      <c r="D57" s="11" t="s">
        <v>239</v>
      </c>
    </row>
    <row r="58" spans="2:6" x14ac:dyDescent="0.3">
      <c r="B58" s="40">
        <v>37</v>
      </c>
      <c r="C58" s="40" t="s">
        <v>240</v>
      </c>
      <c r="D58" s="40" t="s">
        <v>241</v>
      </c>
    </row>
    <row r="59" spans="2:6" x14ac:dyDescent="0.3">
      <c r="B59" s="40">
        <v>38</v>
      </c>
      <c r="C59" s="40" t="s">
        <v>308</v>
      </c>
      <c r="D59" s="40" t="s">
        <v>321</v>
      </c>
      <c r="E59" s="37" t="str">
        <f>TEXT((1680+F59*60),0)&amp;" - "&amp;TEXT((1680+F59*60+340),0)</f>
        <v>1740 - 2080</v>
      </c>
      <c r="F59" s="13">
        <v>1</v>
      </c>
    </row>
    <row r="60" spans="2:6" x14ac:dyDescent="0.3">
      <c r="B60" s="11">
        <v>39</v>
      </c>
      <c r="C60" s="11" t="s">
        <v>309</v>
      </c>
      <c r="D60" s="11" t="s">
        <v>322</v>
      </c>
      <c r="E60" s="37" t="str">
        <f t="shared" ref="E60:E73" si="0">TEXT((1680+F60*60),0)&amp;" - "&amp;TEXT((1680+F60*60+340),0)</f>
        <v>1800 - 2140</v>
      </c>
      <c r="F60" s="13">
        <v>2</v>
      </c>
    </row>
    <row r="61" spans="2:6" x14ac:dyDescent="0.3">
      <c r="B61" s="11">
        <v>40</v>
      </c>
      <c r="C61" s="11" t="s">
        <v>310</v>
      </c>
      <c r="D61" s="11" t="s">
        <v>323</v>
      </c>
      <c r="E61" s="37" t="str">
        <f t="shared" si="0"/>
        <v>1860 - 2200</v>
      </c>
      <c r="F61" s="13">
        <v>3</v>
      </c>
    </row>
    <row r="62" spans="2:6" x14ac:dyDescent="0.3">
      <c r="B62" s="11">
        <v>41</v>
      </c>
      <c r="C62" s="11" t="s">
        <v>311</v>
      </c>
      <c r="D62" s="11" t="s">
        <v>324</v>
      </c>
      <c r="E62" s="37" t="str">
        <f t="shared" si="0"/>
        <v>1920 - 2260</v>
      </c>
      <c r="F62" s="13">
        <v>4</v>
      </c>
    </row>
    <row r="63" spans="2:6" x14ac:dyDescent="0.3">
      <c r="B63" s="11">
        <v>42</v>
      </c>
      <c r="C63" s="11" t="s">
        <v>312</v>
      </c>
      <c r="D63" s="11" t="s">
        <v>325</v>
      </c>
      <c r="E63" s="37" t="str">
        <f t="shared" si="0"/>
        <v>1980 - 2320</v>
      </c>
      <c r="F63" s="13">
        <v>5</v>
      </c>
    </row>
    <row r="64" spans="2:6" x14ac:dyDescent="0.3">
      <c r="B64" s="11">
        <v>43</v>
      </c>
      <c r="C64" s="11" t="s">
        <v>313</v>
      </c>
      <c r="D64" s="11" t="s">
        <v>326</v>
      </c>
      <c r="E64" s="37" t="str">
        <f t="shared" si="0"/>
        <v>2040 - 2380</v>
      </c>
      <c r="F64" s="13">
        <v>6</v>
      </c>
    </row>
    <row r="65" spans="2:6" x14ac:dyDescent="0.3">
      <c r="B65" s="11">
        <v>44</v>
      </c>
      <c r="C65" s="11" t="s">
        <v>314</v>
      </c>
      <c r="D65" s="11" t="s">
        <v>327</v>
      </c>
      <c r="E65" s="37" t="str">
        <f t="shared" si="0"/>
        <v>2100 - 2440</v>
      </c>
      <c r="F65" s="13">
        <v>7</v>
      </c>
    </row>
    <row r="66" spans="2:6" x14ac:dyDescent="0.3">
      <c r="B66" s="11">
        <v>45</v>
      </c>
      <c r="C66" s="11" t="s">
        <v>315</v>
      </c>
      <c r="D66" s="11" t="s">
        <v>328</v>
      </c>
      <c r="E66" s="37" t="str">
        <f t="shared" si="0"/>
        <v>2160 - 2500</v>
      </c>
      <c r="F66" s="13">
        <v>8</v>
      </c>
    </row>
    <row r="67" spans="2:6" x14ac:dyDescent="0.3">
      <c r="B67" s="11">
        <v>46</v>
      </c>
      <c r="C67" s="11" t="s">
        <v>316</v>
      </c>
      <c r="D67" s="11" t="s">
        <v>329</v>
      </c>
      <c r="E67" s="37" t="str">
        <f t="shared" si="0"/>
        <v>2220 - 2560</v>
      </c>
      <c r="F67" s="13">
        <v>9</v>
      </c>
    </row>
    <row r="68" spans="2:6" x14ac:dyDescent="0.3">
      <c r="B68" s="11">
        <v>47</v>
      </c>
      <c r="C68" s="11" t="s">
        <v>317</v>
      </c>
      <c r="D68" s="11" t="s">
        <v>330</v>
      </c>
      <c r="E68" s="37" t="str">
        <f t="shared" si="0"/>
        <v>2280 - 2620</v>
      </c>
      <c r="F68" s="13">
        <v>10</v>
      </c>
    </row>
    <row r="69" spans="2:6" x14ac:dyDescent="0.3">
      <c r="B69" s="11">
        <v>48</v>
      </c>
      <c r="C69" s="11" t="s">
        <v>318</v>
      </c>
      <c r="D69" s="11" t="s">
        <v>331</v>
      </c>
      <c r="E69" s="37" t="str">
        <f t="shared" si="0"/>
        <v>2340 - 2680</v>
      </c>
      <c r="F69" s="13">
        <v>11</v>
      </c>
    </row>
    <row r="70" spans="2:6" x14ac:dyDescent="0.3">
      <c r="B70" s="11">
        <v>49</v>
      </c>
      <c r="C70" s="11" t="s">
        <v>319</v>
      </c>
      <c r="D70" s="11" t="s">
        <v>332</v>
      </c>
      <c r="E70" s="37" t="str">
        <f t="shared" si="0"/>
        <v>2400 - 2740</v>
      </c>
      <c r="F70" s="13">
        <v>12</v>
      </c>
    </row>
    <row r="71" spans="2:6" x14ac:dyDescent="0.3">
      <c r="B71" s="11">
        <v>50</v>
      </c>
      <c r="C71" s="11" t="s">
        <v>320</v>
      </c>
      <c r="D71" s="11" t="s">
        <v>333</v>
      </c>
      <c r="E71" s="37" t="str">
        <f t="shared" si="0"/>
        <v>2460 - 2800</v>
      </c>
      <c r="F71" s="13">
        <v>13</v>
      </c>
    </row>
    <row r="72" spans="2:6" x14ac:dyDescent="0.3">
      <c r="E72" s="37" t="str">
        <f t="shared" si="0"/>
        <v>2520 - 2860</v>
      </c>
      <c r="F72" s="13">
        <v>14</v>
      </c>
    </row>
    <row r="73" spans="2:6" x14ac:dyDescent="0.3">
      <c r="E73" s="37" t="str">
        <f t="shared" si="0"/>
        <v>2580 - 2920</v>
      </c>
      <c r="F73" s="13">
        <v>15</v>
      </c>
    </row>
  </sheetData>
  <mergeCells count="6">
    <mergeCell ref="F12:G12"/>
    <mergeCell ref="C12:C13"/>
    <mergeCell ref="D12:D13"/>
    <mergeCell ref="E12:E13"/>
    <mergeCell ref="D14:D18"/>
    <mergeCell ref="E14:E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90"/>
  <sheetViews>
    <sheetView zoomScale="70" zoomScaleNormal="70" workbookViewId="0">
      <selection activeCell="I6" sqref="I6"/>
    </sheetView>
  </sheetViews>
  <sheetFormatPr defaultRowHeight="14.4" x14ac:dyDescent="0.3"/>
  <cols>
    <col min="2" max="2" width="13.5546875" customWidth="1"/>
    <col min="3" max="3" width="15.88671875" customWidth="1"/>
    <col min="4" max="4" width="38" customWidth="1"/>
    <col min="5" max="6" width="11.5546875" customWidth="1"/>
    <col min="7" max="7" width="15" customWidth="1"/>
    <col min="8" max="8" width="13.88671875" customWidth="1"/>
  </cols>
  <sheetData>
    <row r="1" spans="2:8" ht="18" x14ac:dyDescent="0.35">
      <c r="B1" s="1" t="s">
        <v>127</v>
      </c>
    </row>
    <row r="2" spans="2:8" ht="31.2" x14ac:dyDescent="0.3">
      <c r="B2" s="2" t="s">
        <v>0</v>
      </c>
      <c r="C2" s="3" t="s">
        <v>128</v>
      </c>
      <c r="D2" s="2" t="s">
        <v>129</v>
      </c>
      <c r="E2" s="2" t="s">
        <v>31</v>
      </c>
    </row>
    <row r="3" spans="2:8" ht="15.6" x14ac:dyDescent="0.3">
      <c r="B3" s="4">
        <v>1</v>
      </c>
      <c r="C3" s="2" t="s">
        <v>130</v>
      </c>
      <c r="D3" s="5" t="s">
        <v>131</v>
      </c>
      <c r="E3" s="5">
        <f>G56*G75*G80</f>
        <v>1.1877000000000002</v>
      </c>
    </row>
    <row r="4" spans="2:8" ht="31.2" x14ac:dyDescent="0.3">
      <c r="B4" s="4">
        <v>2</v>
      </c>
      <c r="C4" s="2" t="s">
        <v>132</v>
      </c>
      <c r="D4" s="6" t="s">
        <v>133</v>
      </c>
      <c r="E4" s="5">
        <f>G13*G18*G27*G31*G35*G39*G43*G47*G75*G80*G85</f>
        <v>1.3090896000000003</v>
      </c>
    </row>
    <row r="5" spans="2:8" ht="31.2" x14ac:dyDescent="0.3">
      <c r="B5" s="4">
        <v>3</v>
      </c>
      <c r="C5" s="2" t="s">
        <v>134</v>
      </c>
      <c r="D5" s="6" t="s">
        <v>135</v>
      </c>
      <c r="E5" s="5">
        <f>G13*G18*G27*G31*G35*G39*G43*G47*G56*G63*G66*G69*G72*G75*G80*G85</f>
        <v>1.4287403894400004</v>
      </c>
    </row>
    <row r="6" spans="2:8" ht="46.8" x14ac:dyDescent="0.3">
      <c r="B6" s="4">
        <v>4</v>
      </c>
      <c r="C6" s="2" t="s">
        <v>136</v>
      </c>
      <c r="D6" s="6" t="s">
        <v>137</v>
      </c>
      <c r="E6" s="5">
        <f>G13*G18*G27*G31*G35*G39*G43*G47*G51*G63*G66*G69*G72*G75*G80*G85</f>
        <v>1.3352713920000003</v>
      </c>
    </row>
    <row r="7" spans="2:8" ht="31.2" x14ac:dyDescent="0.3">
      <c r="B7" s="4">
        <v>5</v>
      </c>
      <c r="C7" s="2" t="s">
        <v>138</v>
      </c>
      <c r="D7" s="6" t="s">
        <v>139</v>
      </c>
      <c r="E7" s="5">
        <f>G13*G18*G27*G31*G35*G39*G43*G47*G51*G63*G66*G69*G72*G75*G80*G85*G56</f>
        <v>1.4287403894400004</v>
      </c>
    </row>
    <row r="8" spans="2:8" ht="15.6" x14ac:dyDescent="0.3">
      <c r="B8" s="4">
        <v>6</v>
      </c>
      <c r="C8" s="2" t="s">
        <v>140</v>
      </c>
      <c r="D8" s="6" t="s">
        <v>141</v>
      </c>
      <c r="E8" s="5">
        <f>G13*G18*G56*G75*G85</f>
        <v>1.1684400000000001</v>
      </c>
    </row>
    <row r="9" spans="2:8" ht="15.6" x14ac:dyDescent="0.3">
      <c r="B9" s="4" t="s">
        <v>296</v>
      </c>
      <c r="C9" s="2" t="s">
        <v>297</v>
      </c>
      <c r="D9" s="6" t="s">
        <v>298</v>
      </c>
      <c r="E9" s="5">
        <f>G18*G23*G75</f>
        <v>1.05</v>
      </c>
    </row>
    <row r="11" spans="2:8" ht="18" x14ac:dyDescent="0.35">
      <c r="B11" s="1" t="s">
        <v>126</v>
      </c>
    </row>
    <row r="12" spans="2:8" ht="93.6" x14ac:dyDescent="0.3">
      <c r="B12" s="3" t="s">
        <v>28</v>
      </c>
      <c r="C12" s="3" t="s">
        <v>29</v>
      </c>
      <c r="D12" s="3" t="s">
        <v>30</v>
      </c>
      <c r="E12" s="3" t="s">
        <v>31</v>
      </c>
      <c r="F12" s="3" t="s">
        <v>32</v>
      </c>
      <c r="G12" s="3" t="s">
        <v>142</v>
      </c>
      <c r="H12" s="3" t="s">
        <v>143</v>
      </c>
    </row>
    <row r="13" spans="2:8" ht="68.25" customHeight="1" x14ac:dyDescent="0.3">
      <c r="B13" s="65" t="s">
        <v>33</v>
      </c>
      <c r="C13" s="65" t="s">
        <v>34</v>
      </c>
      <c r="D13" s="65" t="s">
        <v>35</v>
      </c>
      <c r="E13" s="65"/>
      <c r="F13" s="6"/>
      <c r="G13" s="56">
        <v>1.04</v>
      </c>
      <c r="H13" s="56" t="s">
        <v>144</v>
      </c>
    </row>
    <row r="14" spans="2:8" ht="31.2" x14ac:dyDescent="0.3">
      <c r="B14" s="65"/>
      <c r="C14" s="65"/>
      <c r="D14" s="6" t="s">
        <v>36</v>
      </c>
      <c r="E14" s="6">
        <v>1</v>
      </c>
      <c r="F14" s="5"/>
      <c r="G14" s="57"/>
      <c r="H14" s="57"/>
    </row>
    <row r="15" spans="2:8" ht="15.6" x14ac:dyDescent="0.3">
      <c r="B15" s="65"/>
      <c r="C15" s="65"/>
      <c r="D15" s="6" t="s">
        <v>37</v>
      </c>
      <c r="E15" s="6">
        <v>1.04</v>
      </c>
      <c r="F15" s="5">
        <v>1</v>
      </c>
      <c r="G15" s="57"/>
      <c r="H15" s="57"/>
    </row>
    <row r="16" spans="2:8" ht="31.2" x14ac:dyDescent="0.3">
      <c r="B16" s="65"/>
      <c r="C16" s="65"/>
      <c r="D16" s="6" t="s">
        <v>38</v>
      </c>
      <c r="E16" s="6">
        <v>1.05</v>
      </c>
      <c r="F16" s="5"/>
      <c r="G16" s="57"/>
      <c r="H16" s="57"/>
    </row>
    <row r="17" spans="2:8" ht="15.6" x14ac:dyDescent="0.3">
      <c r="B17" s="65"/>
      <c r="C17" s="65"/>
      <c r="D17" s="6" t="s">
        <v>39</v>
      </c>
      <c r="E17" s="6">
        <v>1.07</v>
      </c>
      <c r="F17" s="5"/>
      <c r="G17" s="58"/>
      <c r="H17" s="58"/>
    </row>
    <row r="18" spans="2:8" ht="54.75" customHeight="1" x14ac:dyDescent="0.3">
      <c r="B18" s="65"/>
      <c r="C18" s="66" t="s">
        <v>40</v>
      </c>
      <c r="D18" s="65" t="s">
        <v>41</v>
      </c>
      <c r="E18" s="65"/>
      <c r="F18" s="5"/>
      <c r="G18" s="56">
        <v>1.05</v>
      </c>
      <c r="H18" s="59" t="s">
        <v>145</v>
      </c>
    </row>
    <row r="19" spans="2:8" ht="31.2" x14ac:dyDescent="0.3">
      <c r="B19" s="65"/>
      <c r="C19" s="66"/>
      <c r="D19" s="6" t="s">
        <v>42</v>
      </c>
      <c r="E19" s="6">
        <v>0.95</v>
      </c>
      <c r="F19" s="5"/>
      <c r="G19" s="57"/>
      <c r="H19" s="60"/>
    </row>
    <row r="20" spans="2:8" ht="62.4" x14ac:dyDescent="0.3">
      <c r="B20" s="65"/>
      <c r="C20" s="66"/>
      <c r="D20" s="6" t="s">
        <v>43</v>
      </c>
      <c r="E20" s="6">
        <v>1</v>
      </c>
      <c r="F20" s="5"/>
      <c r="G20" s="57"/>
      <c r="H20" s="60"/>
    </row>
    <row r="21" spans="2:8" ht="46.8" x14ac:dyDescent="0.3">
      <c r="B21" s="65"/>
      <c r="C21" s="66"/>
      <c r="D21" s="6" t="s">
        <v>44</v>
      </c>
      <c r="E21" s="6">
        <v>1.05</v>
      </c>
      <c r="F21" s="5">
        <v>1</v>
      </c>
      <c r="G21" s="57"/>
      <c r="H21" s="60"/>
    </row>
    <row r="22" spans="2:8" ht="31.2" x14ac:dyDescent="0.3">
      <c r="B22" s="65"/>
      <c r="C22" s="66"/>
      <c r="D22" s="6" t="s">
        <v>45</v>
      </c>
      <c r="E22" s="6">
        <v>1.08</v>
      </c>
      <c r="F22" s="5"/>
      <c r="G22" s="58"/>
      <c r="H22" s="61"/>
    </row>
    <row r="23" spans="2:8" ht="65.25" customHeight="1" x14ac:dyDescent="0.3">
      <c r="B23" s="65"/>
      <c r="C23" s="65" t="s">
        <v>46</v>
      </c>
      <c r="D23" s="65" t="s">
        <v>47</v>
      </c>
      <c r="E23" s="65"/>
      <c r="F23" s="5"/>
      <c r="G23" s="59">
        <f>E25*F25</f>
        <v>1</v>
      </c>
      <c r="H23" s="56" t="s">
        <v>146</v>
      </c>
    </row>
    <row r="24" spans="2:8" ht="15.6" x14ac:dyDescent="0.3">
      <c r="B24" s="65"/>
      <c r="C24" s="65"/>
      <c r="D24" s="6" t="s">
        <v>48</v>
      </c>
      <c r="E24" s="6">
        <v>1.1000000000000001</v>
      </c>
      <c r="F24" s="5"/>
      <c r="G24" s="60"/>
      <c r="H24" s="57"/>
    </row>
    <row r="25" spans="2:8" ht="15.6" x14ac:dyDescent="0.3">
      <c r="B25" s="65"/>
      <c r="C25" s="65"/>
      <c r="D25" s="6" t="s">
        <v>49</v>
      </c>
      <c r="E25" s="6">
        <v>1</v>
      </c>
      <c r="F25" s="5">
        <v>1</v>
      </c>
      <c r="G25" s="60"/>
      <c r="H25" s="57"/>
    </row>
    <row r="26" spans="2:8" ht="15.6" x14ac:dyDescent="0.3">
      <c r="B26" s="65"/>
      <c r="C26" s="65"/>
      <c r="D26" s="6" t="s">
        <v>50</v>
      </c>
      <c r="E26" s="6">
        <v>0.95</v>
      </c>
      <c r="F26" s="5"/>
      <c r="G26" s="61"/>
      <c r="H26" s="58"/>
    </row>
    <row r="27" spans="2:8" ht="49.5" customHeight="1" x14ac:dyDescent="0.3">
      <c r="B27" s="65"/>
      <c r="C27" s="65" t="s">
        <v>51</v>
      </c>
      <c r="D27" s="65" t="s">
        <v>52</v>
      </c>
      <c r="E27" s="65"/>
      <c r="F27" s="5"/>
      <c r="G27" s="59">
        <v>1</v>
      </c>
      <c r="H27" s="59" t="s">
        <v>147</v>
      </c>
    </row>
    <row r="28" spans="2:8" ht="15.6" x14ac:dyDescent="0.3">
      <c r="B28" s="65"/>
      <c r="C28" s="65"/>
      <c r="D28" s="6" t="s">
        <v>53</v>
      </c>
      <c r="E28" s="6">
        <v>1.05</v>
      </c>
      <c r="F28" s="5">
        <v>1</v>
      </c>
      <c r="G28" s="60"/>
      <c r="H28" s="60"/>
    </row>
    <row r="29" spans="2:8" ht="15.6" x14ac:dyDescent="0.3">
      <c r="B29" s="65"/>
      <c r="C29" s="65"/>
      <c r="D29" s="6" t="s">
        <v>54</v>
      </c>
      <c r="E29" s="6">
        <v>1</v>
      </c>
      <c r="F29" s="5"/>
      <c r="G29" s="60"/>
      <c r="H29" s="60"/>
    </row>
    <row r="30" spans="2:8" ht="15.6" x14ac:dyDescent="0.3">
      <c r="B30" s="65"/>
      <c r="C30" s="65"/>
      <c r="D30" s="6" t="s">
        <v>55</v>
      </c>
      <c r="E30" s="6">
        <v>0.98</v>
      </c>
      <c r="F30" s="5"/>
      <c r="G30" s="61"/>
      <c r="H30" s="61"/>
    </row>
    <row r="31" spans="2:8" ht="15.6" x14ac:dyDescent="0.3">
      <c r="B31" s="65"/>
      <c r="C31" s="65" t="s">
        <v>56</v>
      </c>
      <c r="D31" s="66"/>
      <c r="E31" s="66"/>
      <c r="F31" s="5"/>
      <c r="G31" s="59">
        <v>1</v>
      </c>
      <c r="H31" s="56" t="s">
        <v>148</v>
      </c>
    </row>
    <row r="32" spans="2:8" ht="15.6" x14ac:dyDescent="0.3">
      <c r="B32" s="65"/>
      <c r="C32" s="65"/>
      <c r="D32" s="6" t="s">
        <v>53</v>
      </c>
      <c r="E32" s="6">
        <v>1.03</v>
      </c>
      <c r="F32" s="5">
        <v>1</v>
      </c>
      <c r="G32" s="60"/>
      <c r="H32" s="57"/>
    </row>
    <row r="33" spans="2:8" ht="15.6" x14ac:dyDescent="0.3">
      <c r="B33" s="65"/>
      <c r="C33" s="65"/>
      <c r="D33" s="6" t="s">
        <v>54</v>
      </c>
      <c r="E33" s="6">
        <v>1</v>
      </c>
      <c r="F33" s="5"/>
      <c r="G33" s="60"/>
      <c r="H33" s="57"/>
    </row>
    <row r="34" spans="2:8" ht="144.75" customHeight="1" x14ac:dyDescent="0.3">
      <c r="B34" s="65"/>
      <c r="C34" s="65"/>
      <c r="D34" s="6" t="s">
        <v>55</v>
      </c>
      <c r="E34" s="6">
        <v>0.97</v>
      </c>
      <c r="F34" s="5"/>
      <c r="G34" s="61"/>
      <c r="H34" s="58"/>
    </row>
    <row r="35" spans="2:8" ht="39.75" customHeight="1" x14ac:dyDescent="0.3">
      <c r="B35" s="65"/>
      <c r="C35" s="65" t="s">
        <v>57</v>
      </c>
      <c r="D35" s="65" t="s">
        <v>58</v>
      </c>
      <c r="E35" s="65"/>
      <c r="F35" s="5"/>
      <c r="G35" s="59">
        <v>1.08</v>
      </c>
      <c r="H35" s="56" t="s">
        <v>149</v>
      </c>
    </row>
    <row r="36" spans="2:8" ht="15.6" x14ac:dyDescent="0.3">
      <c r="B36" s="65"/>
      <c r="C36" s="65"/>
      <c r="D36" s="6" t="s">
        <v>59</v>
      </c>
      <c r="E36" s="6">
        <v>1</v>
      </c>
      <c r="F36" s="5"/>
      <c r="G36" s="60"/>
      <c r="H36" s="57"/>
    </row>
    <row r="37" spans="2:8" ht="15.6" x14ac:dyDescent="0.3">
      <c r="B37" s="65"/>
      <c r="C37" s="65"/>
      <c r="D37" s="6" t="s">
        <v>60</v>
      </c>
      <c r="E37" s="6">
        <v>1.08</v>
      </c>
      <c r="F37" s="5"/>
      <c r="G37" s="60"/>
      <c r="H37" s="57"/>
    </row>
    <row r="38" spans="2:8" ht="15.6" x14ac:dyDescent="0.3">
      <c r="B38" s="65"/>
      <c r="C38" s="65"/>
      <c r="D38" s="6" t="s">
        <v>61</v>
      </c>
      <c r="E38" s="6">
        <v>1.1299999999999999</v>
      </c>
      <c r="F38" s="5">
        <v>1</v>
      </c>
      <c r="G38" s="61"/>
      <c r="H38" s="58"/>
    </row>
    <row r="39" spans="2:8" ht="66" customHeight="1" x14ac:dyDescent="0.3">
      <c r="B39" s="65"/>
      <c r="C39" s="65" t="s">
        <v>62</v>
      </c>
      <c r="D39" s="65" t="s">
        <v>63</v>
      </c>
      <c r="E39" s="65"/>
      <c r="F39" s="5"/>
      <c r="G39" s="59">
        <v>1</v>
      </c>
      <c r="H39" s="56" t="s">
        <v>150</v>
      </c>
    </row>
    <row r="40" spans="2:8" ht="15.6" x14ac:dyDescent="0.3">
      <c r="B40" s="65"/>
      <c r="C40" s="65"/>
      <c r="D40" s="6" t="s">
        <v>64</v>
      </c>
      <c r="E40" s="6">
        <v>1.1499999999999999</v>
      </c>
      <c r="F40" s="5">
        <v>1</v>
      </c>
      <c r="G40" s="60"/>
      <c r="H40" s="57"/>
    </row>
    <row r="41" spans="2:8" ht="15.6" x14ac:dyDescent="0.3">
      <c r="B41" s="65"/>
      <c r="C41" s="65"/>
      <c r="D41" s="6" t="s">
        <v>65</v>
      </c>
      <c r="E41" s="6">
        <v>1</v>
      </c>
      <c r="F41" s="5"/>
      <c r="G41" s="60"/>
      <c r="H41" s="57"/>
    </row>
    <row r="42" spans="2:8" ht="15.6" x14ac:dyDescent="0.3">
      <c r="B42" s="65"/>
      <c r="C42" s="65"/>
      <c r="D42" s="6" t="s">
        <v>66</v>
      </c>
      <c r="E42" s="6">
        <v>0.92</v>
      </c>
      <c r="F42" s="5"/>
      <c r="G42" s="61"/>
      <c r="H42" s="58"/>
    </row>
    <row r="43" spans="2:8" ht="47.25" customHeight="1" x14ac:dyDescent="0.3">
      <c r="B43" s="65"/>
      <c r="C43" s="65" t="s">
        <v>67</v>
      </c>
      <c r="D43" s="65" t="s">
        <v>68</v>
      </c>
      <c r="E43" s="65"/>
      <c r="F43" s="5"/>
      <c r="G43" s="59">
        <v>1</v>
      </c>
      <c r="H43" s="56" t="s">
        <v>151</v>
      </c>
    </row>
    <row r="44" spans="2:8" ht="15.6" x14ac:dyDescent="0.3">
      <c r="B44" s="65"/>
      <c r="C44" s="65"/>
      <c r="D44" s="6" t="s">
        <v>69</v>
      </c>
      <c r="E44" s="6">
        <v>1.1200000000000001</v>
      </c>
      <c r="F44" s="5">
        <v>1</v>
      </c>
      <c r="G44" s="60"/>
      <c r="H44" s="57"/>
    </row>
    <row r="45" spans="2:8" ht="15.6" x14ac:dyDescent="0.3">
      <c r="B45" s="65"/>
      <c r="C45" s="65"/>
      <c r="D45" s="6" t="s">
        <v>70</v>
      </c>
      <c r="E45" s="6">
        <v>1</v>
      </c>
      <c r="F45" s="5"/>
      <c r="G45" s="60"/>
      <c r="H45" s="57"/>
    </row>
    <row r="46" spans="2:8" ht="15.6" x14ac:dyDescent="0.3">
      <c r="B46" s="65"/>
      <c r="C46" s="65"/>
      <c r="D46" s="6" t="s">
        <v>71</v>
      </c>
      <c r="E46" s="6">
        <v>0.98</v>
      </c>
      <c r="F46" s="5"/>
      <c r="G46" s="61"/>
      <c r="H46" s="58"/>
    </row>
    <row r="47" spans="2:8" ht="43.5" customHeight="1" x14ac:dyDescent="0.3">
      <c r="B47" s="65"/>
      <c r="C47" s="65" t="s">
        <v>72</v>
      </c>
      <c r="D47" s="65" t="s">
        <v>73</v>
      </c>
      <c r="E47" s="65"/>
      <c r="F47" s="5"/>
      <c r="G47" s="59">
        <v>1</v>
      </c>
      <c r="H47" s="56" t="s">
        <v>152</v>
      </c>
    </row>
    <row r="48" spans="2:8" ht="15.6" x14ac:dyDescent="0.3">
      <c r="B48" s="65"/>
      <c r="C48" s="65"/>
      <c r="D48" s="6" t="s">
        <v>74</v>
      </c>
      <c r="E48" s="6">
        <v>1.21</v>
      </c>
      <c r="F48" s="5">
        <v>1</v>
      </c>
      <c r="G48" s="60"/>
      <c r="H48" s="57"/>
    </row>
    <row r="49" spans="2:8" ht="15.6" x14ac:dyDescent="0.3">
      <c r="B49" s="65"/>
      <c r="C49" s="65"/>
      <c r="D49" s="6" t="s">
        <v>75</v>
      </c>
      <c r="E49" s="6">
        <v>1</v>
      </c>
      <c r="F49" s="5"/>
      <c r="G49" s="60"/>
      <c r="H49" s="57"/>
    </row>
    <row r="50" spans="2:8" ht="15.6" x14ac:dyDescent="0.3">
      <c r="B50" s="65"/>
      <c r="C50" s="65"/>
      <c r="D50" s="6" t="s">
        <v>76</v>
      </c>
      <c r="E50" s="6">
        <v>0.92</v>
      </c>
      <c r="F50" s="5"/>
      <c r="G50" s="61"/>
      <c r="H50" s="58"/>
    </row>
    <row r="51" spans="2:8" ht="54.75" customHeight="1" x14ac:dyDescent="0.3">
      <c r="B51" s="65"/>
      <c r="C51" s="65" t="s">
        <v>77</v>
      </c>
      <c r="D51" s="65" t="s">
        <v>78</v>
      </c>
      <c r="E51" s="65"/>
      <c r="F51" s="5"/>
      <c r="G51" s="59">
        <f>E55*F55</f>
        <v>1</v>
      </c>
      <c r="H51" s="56" t="s">
        <v>153</v>
      </c>
    </row>
    <row r="52" spans="2:8" ht="31.2" x14ac:dyDescent="0.3">
      <c r="B52" s="65"/>
      <c r="C52" s="65"/>
      <c r="D52" s="6" t="s">
        <v>79</v>
      </c>
      <c r="E52" s="6">
        <v>1.08</v>
      </c>
      <c r="F52" s="5"/>
      <c r="G52" s="60"/>
      <c r="H52" s="57"/>
    </row>
    <row r="53" spans="2:8" ht="31.2" x14ac:dyDescent="0.3">
      <c r="B53" s="65"/>
      <c r="C53" s="65"/>
      <c r="D53" s="6" t="s">
        <v>80</v>
      </c>
      <c r="E53" s="6">
        <v>1.0900000000000001</v>
      </c>
      <c r="F53" s="5"/>
      <c r="G53" s="60"/>
      <c r="H53" s="57"/>
    </row>
    <row r="54" spans="2:8" ht="31.2" x14ac:dyDescent="0.3">
      <c r="B54" s="65"/>
      <c r="C54" s="65"/>
      <c r="D54" s="6" t="s">
        <v>81</v>
      </c>
      <c r="E54" s="6">
        <v>1.07</v>
      </c>
      <c r="F54" s="5"/>
      <c r="G54" s="60"/>
      <c r="H54" s="57"/>
    </row>
    <row r="55" spans="2:8" ht="31.2" x14ac:dyDescent="0.3">
      <c r="B55" s="65"/>
      <c r="C55" s="65"/>
      <c r="D55" s="6" t="s">
        <v>82</v>
      </c>
      <c r="E55" s="6">
        <v>1</v>
      </c>
      <c r="F55" s="5">
        <v>1</v>
      </c>
      <c r="G55" s="61"/>
      <c r="H55" s="58"/>
    </row>
    <row r="56" spans="2:8" ht="99.75" customHeight="1" x14ac:dyDescent="0.3">
      <c r="B56" s="65" t="s">
        <v>83</v>
      </c>
      <c r="C56" s="65" t="s">
        <v>84</v>
      </c>
      <c r="D56" s="65" t="s">
        <v>85</v>
      </c>
      <c r="E56" s="65"/>
      <c r="F56" s="5"/>
      <c r="G56" s="59">
        <v>1.07</v>
      </c>
      <c r="H56" s="56" t="s">
        <v>154</v>
      </c>
    </row>
    <row r="57" spans="2:8" ht="15.6" x14ac:dyDescent="0.3">
      <c r="B57" s="65"/>
      <c r="C57" s="65"/>
      <c r="D57" s="6" t="s">
        <v>86</v>
      </c>
      <c r="E57" s="6">
        <v>1.1200000000000001</v>
      </c>
      <c r="F57" s="5"/>
      <c r="G57" s="60"/>
      <c r="H57" s="57"/>
    </row>
    <row r="58" spans="2:8" ht="15.6" x14ac:dyDescent="0.3">
      <c r="B58" s="65"/>
      <c r="C58" s="65"/>
      <c r="D58" s="6" t="s">
        <v>87</v>
      </c>
      <c r="E58" s="6">
        <v>1.07</v>
      </c>
      <c r="F58" s="5">
        <v>1</v>
      </c>
      <c r="G58" s="60"/>
      <c r="H58" s="57"/>
    </row>
    <row r="59" spans="2:8" ht="15.6" x14ac:dyDescent="0.3">
      <c r="B59" s="65"/>
      <c r="C59" s="65"/>
      <c r="D59" s="6" t="s">
        <v>88</v>
      </c>
      <c r="E59" s="6">
        <v>1</v>
      </c>
      <c r="F59" s="5"/>
      <c r="G59" s="60"/>
      <c r="H59" s="57"/>
    </row>
    <row r="60" spans="2:8" ht="15.6" x14ac:dyDescent="0.3">
      <c r="B60" s="65"/>
      <c r="C60" s="65"/>
      <c r="D60" s="6" t="s">
        <v>89</v>
      </c>
      <c r="E60" s="6">
        <v>1.1399999999999999</v>
      </c>
      <c r="F60" s="5"/>
      <c r="G60" s="60"/>
      <c r="H60" s="57"/>
    </row>
    <row r="61" spans="2:8" ht="15.6" x14ac:dyDescent="0.3">
      <c r="B61" s="65"/>
      <c r="C61" s="65"/>
      <c r="D61" s="6" t="s">
        <v>90</v>
      </c>
      <c r="E61" s="6">
        <v>1.06</v>
      </c>
      <c r="F61" s="5"/>
      <c r="G61" s="60"/>
      <c r="H61" s="57"/>
    </row>
    <row r="62" spans="2:8" ht="15.6" x14ac:dyDescent="0.3">
      <c r="B62" s="65"/>
      <c r="C62" s="65"/>
      <c r="D62" s="6" t="s">
        <v>91</v>
      </c>
      <c r="E62" s="6">
        <v>1.0900000000000001</v>
      </c>
      <c r="F62" s="5"/>
      <c r="G62" s="61"/>
      <c r="H62" s="58"/>
    </row>
    <row r="63" spans="2:8" ht="49.5" customHeight="1" x14ac:dyDescent="0.3">
      <c r="B63" s="65"/>
      <c r="C63" s="65" t="s">
        <v>92</v>
      </c>
      <c r="D63" s="65" t="s">
        <v>93</v>
      </c>
      <c r="E63" s="65"/>
      <c r="F63" s="5"/>
      <c r="G63" s="59">
        <v>1</v>
      </c>
      <c r="H63" s="56" t="s">
        <v>155</v>
      </c>
    </row>
    <row r="64" spans="2:8" ht="15.6" x14ac:dyDescent="0.3">
      <c r="B64" s="65"/>
      <c r="C64" s="65"/>
      <c r="D64" s="6" t="s">
        <v>94</v>
      </c>
      <c r="E64" s="6">
        <v>0.99</v>
      </c>
      <c r="F64" s="5">
        <v>1</v>
      </c>
      <c r="G64" s="60"/>
      <c r="H64" s="57"/>
    </row>
    <row r="65" spans="2:8" ht="26.25" customHeight="1" x14ac:dyDescent="0.3">
      <c r="B65" s="65"/>
      <c r="C65" s="65"/>
      <c r="D65" s="6" t="s">
        <v>54</v>
      </c>
      <c r="E65" s="6">
        <v>1</v>
      </c>
      <c r="F65" s="5"/>
      <c r="G65" s="61"/>
      <c r="H65" s="58"/>
    </row>
    <row r="66" spans="2:8" ht="65.25" customHeight="1" x14ac:dyDescent="0.3">
      <c r="B66" s="65"/>
      <c r="C66" s="65" t="s">
        <v>95</v>
      </c>
      <c r="D66" s="65" t="s">
        <v>96</v>
      </c>
      <c r="E66" s="65"/>
      <c r="F66" s="5"/>
      <c r="G66" s="59">
        <f>E67*F67</f>
        <v>1</v>
      </c>
      <c r="H66" s="56" t="s">
        <v>156</v>
      </c>
    </row>
    <row r="67" spans="2:8" ht="15.6" x14ac:dyDescent="0.3">
      <c r="B67" s="65"/>
      <c r="C67" s="65"/>
      <c r="D67" s="6" t="s">
        <v>97</v>
      </c>
      <c r="E67" s="6">
        <v>1</v>
      </c>
      <c r="F67" s="5">
        <v>1</v>
      </c>
      <c r="G67" s="60"/>
      <c r="H67" s="57"/>
    </row>
    <row r="68" spans="2:8" ht="15.6" x14ac:dyDescent="0.3">
      <c r="B68" s="65"/>
      <c r="C68" s="65"/>
      <c r="D68" s="6" t="s">
        <v>98</v>
      </c>
      <c r="E68" s="6" t="s">
        <v>99</v>
      </c>
      <c r="F68" s="5"/>
      <c r="G68" s="61"/>
      <c r="H68" s="58"/>
    </row>
    <row r="69" spans="2:8" ht="67.5" customHeight="1" x14ac:dyDescent="0.3">
      <c r="B69" s="65"/>
      <c r="C69" s="65" t="s">
        <v>100</v>
      </c>
      <c r="D69" s="65" t="s">
        <v>101</v>
      </c>
      <c r="E69" s="65"/>
      <c r="F69" s="5"/>
      <c r="G69" s="59">
        <f>E70*F70</f>
        <v>1</v>
      </c>
      <c r="H69" s="56" t="s">
        <v>157</v>
      </c>
    </row>
    <row r="70" spans="2:8" ht="15.6" x14ac:dyDescent="0.3">
      <c r="B70" s="65"/>
      <c r="C70" s="65"/>
      <c r="D70" s="6" t="s">
        <v>97</v>
      </c>
      <c r="E70" s="6">
        <v>1</v>
      </c>
      <c r="F70" s="5">
        <v>1</v>
      </c>
      <c r="G70" s="60"/>
      <c r="H70" s="57"/>
    </row>
    <row r="71" spans="2:8" ht="15.6" x14ac:dyDescent="0.3">
      <c r="B71" s="65"/>
      <c r="C71" s="65"/>
      <c r="D71" s="6" t="s">
        <v>98</v>
      </c>
      <c r="E71" s="6">
        <v>1.01</v>
      </c>
      <c r="F71" s="5"/>
      <c r="G71" s="61"/>
      <c r="H71" s="58"/>
    </row>
    <row r="72" spans="2:8" ht="69.75" customHeight="1" x14ac:dyDescent="0.3">
      <c r="B72" s="65"/>
      <c r="C72" s="65" t="s">
        <v>102</v>
      </c>
      <c r="D72" s="65" t="s">
        <v>103</v>
      </c>
      <c r="E72" s="65"/>
      <c r="F72" s="5"/>
      <c r="G72" s="59">
        <v>1.02</v>
      </c>
      <c r="H72" s="56" t="s">
        <v>158</v>
      </c>
    </row>
    <row r="73" spans="2:8" ht="15.6" x14ac:dyDescent="0.3">
      <c r="B73" s="65"/>
      <c r="C73" s="65"/>
      <c r="D73" s="6" t="s">
        <v>104</v>
      </c>
      <c r="E73" s="6">
        <v>1</v>
      </c>
      <c r="F73" s="5"/>
      <c r="G73" s="60"/>
      <c r="H73" s="57"/>
    </row>
    <row r="74" spans="2:8" ht="15.6" x14ac:dyDescent="0.3">
      <c r="B74" s="65"/>
      <c r="C74" s="65"/>
      <c r="D74" s="6" t="s">
        <v>105</v>
      </c>
      <c r="E74" s="6">
        <v>1.02</v>
      </c>
      <c r="F74" s="5">
        <v>1</v>
      </c>
      <c r="G74" s="61"/>
      <c r="H74" s="58"/>
    </row>
    <row r="75" spans="2:8" ht="69.75" customHeight="1" x14ac:dyDescent="0.3">
      <c r="B75" s="65"/>
      <c r="C75" s="65" t="s">
        <v>106</v>
      </c>
      <c r="D75" s="65" t="s">
        <v>107</v>
      </c>
      <c r="E75" s="65"/>
      <c r="F75" s="5"/>
      <c r="G75" s="59">
        <v>1</v>
      </c>
      <c r="H75" s="56" t="s">
        <v>159</v>
      </c>
    </row>
    <row r="76" spans="2:8" ht="15.6" x14ac:dyDescent="0.3">
      <c r="B76" s="65"/>
      <c r="C76" s="65"/>
      <c r="D76" s="6" t="s">
        <v>108</v>
      </c>
      <c r="E76" s="6">
        <v>1.18</v>
      </c>
      <c r="F76" s="5"/>
      <c r="G76" s="60"/>
      <c r="H76" s="57"/>
    </row>
    <row r="77" spans="2:8" ht="15.6" x14ac:dyDescent="0.3">
      <c r="B77" s="65"/>
      <c r="C77" s="65"/>
      <c r="D77" s="6" t="s">
        <v>109</v>
      </c>
      <c r="E77" s="6">
        <v>1.1599999999999999</v>
      </c>
      <c r="F77" s="5"/>
      <c r="G77" s="60"/>
      <c r="H77" s="57"/>
    </row>
    <row r="78" spans="2:8" ht="15.6" x14ac:dyDescent="0.3">
      <c r="B78" s="65"/>
      <c r="C78" s="65"/>
      <c r="D78" s="6" t="s">
        <v>110</v>
      </c>
      <c r="E78" s="6">
        <v>1.1299999999999999</v>
      </c>
      <c r="F78" s="5"/>
      <c r="G78" s="60"/>
      <c r="H78" s="57"/>
    </row>
    <row r="79" spans="2:8" ht="15.6" x14ac:dyDescent="0.3">
      <c r="B79" s="65"/>
      <c r="C79" s="65"/>
      <c r="D79" s="6" t="s">
        <v>111</v>
      </c>
      <c r="E79" s="6">
        <v>1</v>
      </c>
      <c r="F79" s="5">
        <v>1</v>
      </c>
      <c r="G79" s="61"/>
      <c r="H79" s="58"/>
    </row>
    <row r="80" spans="2:8" ht="60.75" customHeight="1" x14ac:dyDescent="0.3">
      <c r="B80" s="65"/>
      <c r="C80" s="65" t="s">
        <v>112</v>
      </c>
      <c r="D80" s="65" t="s">
        <v>113</v>
      </c>
      <c r="E80" s="65"/>
      <c r="F80" s="5"/>
      <c r="G80" s="59">
        <f>E83*F83</f>
        <v>1.1100000000000001</v>
      </c>
      <c r="H80" s="56" t="s">
        <v>160</v>
      </c>
    </row>
    <row r="81" spans="2:8" ht="31.2" x14ac:dyDescent="0.3">
      <c r="B81" s="65"/>
      <c r="C81" s="65"/>
      <c r="D81" s="6" t="s">
        <v>114</v>
      </c>
      <c r="E81" s="6">
        <v>0.99</v>
      </c>
      <c r="F81" s="5"/>
      <c r="G81" s="60"/>
      <c r="H81" s="57"/>
    </row>
    <row r="82" spans="2:8" ht="15.6" x14ac:dyDescent="0.3">
      <c r="B82" s="65"/>
      <c r="C82" s="65"/>
      <c r="D82" s="6" t="s">
        <v>115</v>
      </c>
      <c r="E82" s="6">
        <v>1</v>
      </c>
      <c r="F82" s="5"/>
      <c r="G82" s="60"/>
      <c r="H82" s="57"/>
    </row>
    <row r="83" spans="2:8" ht="31.2" x14ac:dyDescent="0.3">
      <c r="B83" s="65"/>
      <c r="C83" s="65"/>
      <c r="D83" s="6" t="s">
        <v>116</v>
      </c>
      <c r="E83" s="6">
        <v>1.1100000000000001</v>
      </c>
      <c r="F83" s="5">
        <v>1</v>
      </c>
      <c r="G83" s="60"/>
      <c r="H83" s="57"/>
    </row>
    <row r="84" spans="2:8" ht="31.2" x14ac:dyDescent="0.3">
      <c r="B84" s="65"/>
      <c r="C84" s="65"/>
      <c r="D84" s="6" t="s">
        <v>117</v>
      </c>
      <c r="E84" s="6">
        <v>1.0900000000000001</v>
      </c>
      <c r="F84" s="5"/>
      <c r="G84" s="61"/>
      <c r="H84" s="58"/>
    </row>
    <row r="85" spans="2:8" ht="48" customHeight="1" x14ac:dyDescent="0.3">
      <c r="B85" s="65" t="s">
        <v>118</v>
      </c>
      <c r="C85" s="65" t="s">
        <v>119</v>
      </c>
      <c r="D85" s="65" t="s">
        <v>120</v>
      </c>
      <c r="E85" s="65"/>
      <c r="F85" s="5"/>
      <c r="G85" s="62">
        <v>1</v>
      </c>
      <c r="H85" s="62" t="s">
        <v>161</v>
      </c>
    </row>
    <row r="86" spans="2:8" ht="15.6" x14ac:dyDescent="0.3">
      <c r="B86" s="65"/>
      <c r="C86" s="65"/>
      <c r="D86" s="6" t="s">
        <v>121</v>
      </c>
      <c r="E86" s="6">
        <v>1</v>
      </c>
      <c r="F86" s="5">
        <v>1</v>
      </c>
      <c r="G86" s="63"/>
      <c r="H86" s="63"/>
    </row>
    <row r="87" spans="2:8" ht="15.6" x14ac:dyDescent="0.3">
      <c r="B87" s="65"/>
      <c r="C87" s="65"/>
      <c r="D87" s="6" t="s">
        <v>122</v>
      </c>
      <c r="E87" s="6">
        <v>1</v>
      </c>
      <c r="F87" s="5"/>
      <c r="G87" s="63"/>
      <c r="H87" s="63"/>
    </row>
    <row r="88" spans="2:8" ht="15.6" x14ac:dyDescent="0.3">
      <c r="B88" s="65"/>
      <c r="C88" s="65"/>
      <c r="D88" s="6" t="s">
        <v>123</v>
      </c>
      <c r="E88" s="6">
        <v>1.08</v>
      </c>
      <c r="F88" s="5"/>
      <c r="G88" s="63"/>
      <c r="H88" s="63"/>
    </row>
    <row r="89" spans="2:8" ht="15.6" x14ac:dyDescent="0.3">
      <c r="B89" s="65"/>
      <c r="C89" s="65"/>
      <c r="D89" s="6" t="s">
        <v>124</v>
      </c>
      <c r="E89" s="6">
        <v>1.0900000000000001</v>
      </c>
      <c r="F89" s="5"/>
      <c r="G89" s="63"/>
      <c r="H89" s="63"/>
    </row>
    <row r="90" spans="2:8" ht="15.6" x14ac:dyDescent="0.3">
      <c r="B90" s="65"/>
      <c r="C90" s="65"/>
      <c r="D90" s="6" t="s">
        <v>125</v>
      </c>
      <c r="E90" s="6">
        <v>0.95</v>
      </c>
      <c r="F90" s="5"/>
      <c r="G90" s="64"/>
      <c r="H90" s="64"/>
    </row>
  </sheetData>
  <mergeCells count="75">
    <mergeCell ref="C43:C46"/>
    <mergeCell ref="D43:E43"/>
    <mergeCell ref="B13:B55"/>
    <mergeCell ref="C13:C17"/>
    <mergeCell ref="D13:E13"/>
    <mergeCell ref="C18:C22"/>
    <mergeCell ref="D18:E18"/>
    <mergeCell ref="C23:C26"/>
    <mergeCell ref="D23:E23"/>
    <mergeCell ref="C27:C30"/>
    <mergeCell ref="D27:E27"/>
    <mergeCell ref="C31:C34"/>
    <mergeCell ref="D31:E31"/>
    <mergeCell ref="C35:C38"/>
    <mergeCell ref="D35:E35"/>
    <mergeCell ref="C39:C42"/>
    <mergeCell ref="D39:E39"/>
    <mergeCell ref="C75:C79"/>
    <mergeCell ref="D75:E75"/>
    <mergeCell ref="C47:C50"/>
    <mergeCell ref="D47:E47"/>
    <mergeCell ref="C51:C55"/>
    <mergeCell ref="D51:E51"/>
    <mergeCell ref="C56:C62"/>
    <mergeCell ref="D56:E56"/>
    <mergeCell ref="C63:C65"/>
    <mergeCell ref="D63:E63"/>
    <mergeCell ref="C66:C68"/>
    <mergeCell ref="D66:E66"/>
    <mergeCell ref="C69:C71"/>
    <mergeCell ref="D69:E69"/>
    <mergeCell ref="C72:C74"/>
    <mergeCell ref="G13:G17"/>
    <mergeCell ref="G18:G22"/>
    <mergeCell ref="G23:G26"/>
    <mergeCell ref="G85:G90"/>
    <mergeCell ref="G27:G30"/>
    <mergeCell ref="G35:G38"/>
    <mergeCell ref="G39:G42"/>
    <mergeCell ref="G43:G46"/>
    <mergeCell ref="G47:G50"/>
    <mergeCell ref="G51:G55"/>
    <mergeCell ref="G80:G84"/>
    <mergeCell ref="G66:G68"/>
    <mergeCell ref="G69:G71"/>
    <mergeCell ref="G72:G74"/>
    <mergeCell ref="G75:G79"/>
    <mergeCell ref="G31:G34"/>
    <mergeCell ref="C80:C84"/>
    <mergeCell ref="D80:E80"/>
    <mergeCell ref="B85:B90"/>
    <mergeCell ref="C85:C90"/>
    <mergeCell ref="D85:E85"/>
    <mergeCell ref="B56:B84"/>
    <mergeCell ref="D72:E72"/>
    <mergeCell ref="H13:H17"/>
    <mergeCell ref="H18:H22"/>
    <mergeCell ref="H23:H26"/>
    <mergeCell ref="H27:H30"/>
    <mergeCell ref="H31:H34"/>
    <mergeCell ref="H72:H74"/>
    <mergeCell ref="H75:H79"/>
    <mergeCell ref="H80:H84"/>
    <mergeCell ref="H85:H90"/>
    <mergeCell ref="H47:H50"/>
    <mergeCell ref="H51:H55"/>
    <mergeCell ref="H56:H62"/>
    <mergeCell ref="H63:H65"/>
    <mergeCell ref="H66:H68"/>
    <mergeCell ref="H69:H71"/>
    <mergeCell ref="H35:H38"/>
    <mergeCell ref="H39:H42"/>
    <mergeCell ref="H43:H46"/>
    <mergeCell ref="G56:G62"/>
    <mergeCell ref="G63:G6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24"/>
  <sheetViews>
    <sheetView tabSelected="1" zoomScale="85" zoomScaleNormal="85" workbookViewId="0">
      <selection activeCell="N3" sqref="N3"/>
    </sheetView>
  </sheetViews>
  <sheetFormatPr defaultRowHeight="14.4" x14ac:dyDescent="0.3"/>
  <cols>
    <col min="2" max="2" width="5.44140625" customWidth="1"/>
    <col min="3" max="3" width="24" customWidth="1"/>
    <col min="4" max="4" width="13.6640625" customWidth="1"/>
    <col min="5" max="5" width="15.44140625" customWidth="1"/>
    <col min="6" max="6" width="15.5546875" customWidth="1"/>
    <col min="7" max="7" width="22.88671875" customWidth="1"/>
    <col min="8" max="8" width="16.5546875" customWidth="1"/>
    <col min="9" max="9" width="14.6640625" customWidth="1"/>
    <col min="10" max="10" width="15.6640625" customWidth="1"/>
  </cols>
  <sheetData>
    <row r="2" spans="2:11" ht="18" x14ac:dyDescent="0.35">
      <c r="B2" s="1" t="s">
        <v>306</v>
      </c>
    </row>
    <row r="3" spans="2:11" ht="53.25" customHeight="1" x14ac:dyDescent="0.3">
      <c r="B3" s="7"/>
      <c r="C3" s="46" t="s">
        <v>335</v>
      </c>
      <c r="D3" s="46"/>
      <c r="E3" s="46"/>
      <c r="F3" s="46"/>
      <c r="G3" s="22">
        <v>267630</v>
      </c>
      <c r="H3" s="25" t="s">
        <v>278</v>
      </c>
    </row>
    <row r="4" spans="2:11" ht="53.25" customHeight="1" x14ac:dyDescent="0.3">
      <c r="B4" s="7"/>
      <c r="C4" s="46" t="s">
        <v>336</v>
      </c>
      <c r="D4" s="46"/>
      <c r="E4" s="46"/>
      <c r="F4" s="46"/>
      <c r="G4" s="22">
        <f>G3*'Создание и развитие ППО'!G44</f>
        <v>859520.50800000015</v>
      </c>
      <c r="H4" s="25"/>
    </row>
    <row r="5" spans="2:11" ht="54" customHeight="1" x14ac:dyDescent="0.3">
      <c r="B5" s="7"/>
      <c r="C5" s="46" t="s">
        <v>293</v>
      </c>
      <c r="D5" s="46"/>
      <c r="E5" s="46"/>
      <c r="F5" s="46"/>
      <c r="G5" s="22">
        <v>2269</v>
      </c>
    </row>
    <row r="6" spans="2:11" ht="15.6" x14ac:dyDescent="0.3">
      <c r="B6" s="7"/>
      <c r="C6" s="46" t="s">
        <v>342</v>
      </c>
      <c r="D6" s="46"/>
      <c r="E6" s="46"/>
      <c r="F6" s="46"/>
      <c r="G6" s="24">
        <f>(7.1+5.3+5.4)/3</f>
        <v>5.9333333333333327</v>
      </c>
      <c r="H6" s="25"/>
    </row>
    <row r="7" spans="2:11" ht="15.75" customHeight="1" x14ac:dyDescent="0.3">
      <c r="B7" s="27"/>
      <c r="C7" s="16"/>
      <c r="D7" s="16"/>
      <c r="E7" s="16"/>
      <c r="F7" s="16"/>
      <c r="G7" s="32"/>
      <c r="H7" s="25"/>
    </row>
    <row r="8" spans="2:11" ht="15.75" customHeight="1" x14ac:dyDescent="0.35">
      <c r="B8" s="1" t="s">
        <v>299</v>
      </c>
      <c r="C8" s="16"/>
      <c r="D8" s="16"/>
      <c r="E8" s="16"/>
      <c r="F8" s="16"/>
      <c r="G8" s="29"/>
      <c r="H8" s="25"/>
    </row>
    <row r="9" spans="2:11" ht="15.6" x14ac:dyDescent="0.3">
      <c r="B9" s="7"/>
      <c r="C9" s="47" t="s">
        <v>280</v>
      </c>
      <c r="D9" s="47"/>
      <c r="E9" s="47"/>
      <c r="F9" s="47"/>
      <c r="G9" s="31">
        <v>2021</v>
      </c>
      <c r="H9" s="31">
        <v>2022</v>
      </c>
      <c r="I9" s="31">
        <v>2023</v>
      </c>
      <c r="J9" s="31">
        <v>2024</v>
      </c>
    </row>
    <row r="10" spans="2:11" ht="34.5" customHeight="1" x14ac:dyDescent="0.3">
      <c r="B10" s="7"/>
      <c r="C10" s="46" t="s">
        <v>290</v>
      </c>
      <c r="D10" s="46"/>
      <c r="E10" s="46"/>
      <c r="F10" s="46"/>
      <c r="G10" s="30">
        <f>(1+$G$6/100)*(1+$G$6/100)*(1+$G$6/100)</f>
        <v>1.1887702130370366</v>
      </c>
      <c r="H10" s="30">
        <f>(1+$G$6/100)*(1+$G$6/100)</f>
        <v>1.1221871111111108</v>
      </c>
      <c r="I10" s="30">
        <f>(1+$G$6/100)</f>
        <v>1.0593333333333332</v>
      </c>
      <c r="J10" s="30">
        <v>1</v>
      </c>
    </row>
    <row r="11" spans="2:11" ht="15.6" x14ac:dyDescent="0.3">
      <c r="B11" s="7"/>
      <c r="C11" s="46" t="s">
        <v>294</v>
      </c>
      <c r="D11" s="46"/>
      <c r="E11" s="46"/>
      <c r="F11" s="46"/>
      <c r="G11" s="24">
        <f>'Создание и развитие ППО'!G49*G10</f>
        <v>891689.92691267433</v>
      </c>
      <c r="H11" s="24">
        <f>'Создание и развитие ППО'!H49*H10</f>
        <v>891689.92691267445</v>
      </c>
      <c r="I11" s="24">
        <f>'Создание и развитие ППО'!I49*I10</f>
        <v>0</v>
      </c>
      <c r="J11" s="24">
        <f>SUM(G11:I11)</f>
        <v>1783379.8538253489</v>
      </c>
    </row>
    <row r="12" spans="2:11" s="27" customFormat="1" ht="15.6" x14ac:dyDescent="0.3">
      <c r="C12" s="16"/>
      <c r="D12" s="16"/>
      <c r="E12" s="16"/>
      <c r="F12" s="16"/>
      <c r="G12" s="28"/>
      <c r="H12" s="28"/>
      <c r="I12" s="28"/>
      <c r="J12" s="28"/>
    </row>
    <row r="13" spans="2:11" s="27" customFormat="1" ht="18" x14ac:dyDescent="0.35">
      <c r="B13" s="1" t="s">
        <v>295</v>
      </c>
      <c r="C13" s="16"/>
      <c r="D13" s="16"/>
      <c r="E13" s="16"/>
      <c r="F13" s="16"/>
      <c r="G13" s="28"/>
      <c r="H13" s="28"/>
      <c r="I13" s="28"/>
      <c r="J13" s="28"/>
    </row>
    <row r="14" spans="2:11" ht="38.25" customHeight="1" x14ac:dyDescent="0.3">
      <c r="B14" s="7"/>
      <c r="C14" s="46" t="s">
        <v>343</v>
      </c>
      <c r="D14" s="46"/>
      <c r="E14" s="46"/>
      <c r="F14" s="46"/>
      <c r="G14" s="24">
        <f>J11*('Нормы и срок'!$E$7/100)*'Поправочные коэффициенты'!E9</f>
        <v>280882.32697749243</v>
      </c>
      <c r="H14" s="28"/>
      <c r="I14" s="28"/>
      <c r="J14" s="27"/>
      <c r="K14" s="27"/>
    </row>
    <row r="16" spans="2:11" ht="18" x14ac:dyDescent="0.35">
      <c r="B16" s="1" t="s">
        <v>301</v>
      </c>
    </row>
    <row r="17" spans="2:8" ht="30.75" customHeight="1" x14ac:dyDescent="0.3">
      <c r="B17" s="7"/>
      <c r="C17" s="46" t="s">
        <v>302</v>
      </c>
      <c r="D17" s="46"/>
      <c r="E17" s="46"/>
      <c r="F17" s="46"/>
      <c r="G17" s="22">
        <v>1</v>
      </c>
    </row>
    <row r="18" spans="2:8" ht="33.75" customHeight="1" x14ac:dyDescent="0.3">
      <c r="B18" s="7"/>
      <c r="C18" s="46" t="s">
        <v>303</v>
      </c>
      <c r="D18" s="46"/>
      <c r="E18" s="46"/>
      <c r="F18" s="46"/>
      <c r="G18" s="22">
        <v>6</v>
      </c>
    </row>
    <row r="19" spans="2:8" ht="21" customHeight="1" x14ac:dyDescent="0.3">
      <c r="B19" s="7"/>
      <c r="C19" s="46" t="s">
        <v>304</v>
      </c>
      <c r="D19" s="46"/>
      <c r="E19" s="46"/>
      <c r="F19" s="46"/>
      <c r="G19" s="22">
        <v>24</v>
      </c>
    </row>
    <row r="20" spans="2:8" ht="31.5" customHeight="1" x14ac:dyDescent="0.3">
      <c r="B20" s="7"/>
      <c r="C20" s="46" t="s">
        <v>305</v>
      </c>
      <c r="D20" s="46"/>
      <c r="E20" s="46"/>
      <c r="F20" s="46"/>
      <c r="G20" s="22">
        <v>1</v>
      </c>
    </row>
    <row r="21" spans="2:8" ht="15.6" x14ac:dyDescent="0.3">
      <c r="B21" s="7"/>
      <c r="C21" s="46" t="s">
        <v>300</v>
      </c>
      <c r="D21" s="46"/>
      <c r="E21" s="46"/>
      <c r="F21" s="46"/>
      <c r="G21" s="24">
        <f>(G17+G20*G18+G19)*G4*12/1000</f>
        <v>319741.62897600007</v>
      </c>
    </row>
    <row r="23" spans="2:8" ht="18" x14ac:dyDescent="0.35">
      <c r="B23" s="1" t="s">
        <v>307</v>
      </c>
    </row>
    <row r="24" spans="2:8" ht="15.6" x14ac:dyDescent="0.3">
      <c r="B24" s="7"/>
      <c r="C24" s="46" t="s">
        <v>344</v>
      </c>
      <c r="D24" s="46"/>
      <c r="E24" s="46"/>
      <c r="F24" s="46"/>
      <c r="G24" s="24">
        <f>G14+G21</f>
        <v>600623.95595349255</v>
      </c>
      <c r="H24" s="25"/>
    </row>
  </sheetData>
  <mergeCells count="14">
    <mergeCell ref="C3:F3"/>
    <mergeCell ref="C6:F6"/>
    <mergeCell ref="C24:F24"/>
    <mergeCell ref="C21:F21"/>
    <mergeCell ref="C9:F9"/>
    <mergeCell ref="C10:F10"/>
    <mergeCell ref="C11:F11"/>
    <mergeCell ref="C14:F14"/>
    <mergeCell ref="C18:F18"/>
    <mergeCell ref="C5:F5"/>
    <mergeCell ref="C17:F17"/>
    <mergeCell ref="C19:F19"/>
    <mergeCell ref="C20:F20"/>
    <mergeCell ref="C4:F4"/>
  </mergeCells>
  <hyperlinks>
    <hyperlink ref="H3" r:id="rId1" xr:uid="{00000000-0004-0000-03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Создание и развитие ППО</vt:lpstr>
      <vt:lpstr>Нормы и срок</vt:lpstr>
      <vt:lpstr>Поправочные коэффициенты</vt:lpstr>
      <vt:lpstr>Сопровождение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dcterms:created xsi:type="dcterms:W3CDTF">2017-03-13T03:45:33Z</dcterms:created>
  <dcterms:modified xsi:type="dcterms:W3CDTF">2022-05-17T03:15:05Z</dcterms:modified>
</cp:coreProperties>
</file>